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795" windowWidth="24375" windowHeight="11925"/>
  </bookViews>
  <sheets>
    <sheet name="Data" sheetId="1" r:id="rId1"/>
    <sheet name="Lønn" sheetId="2" r:id="rId2"/>
  </sheets>
  <calcPr calcId="125725"/>
</workbook>
</file>

<file path=xl/calcChain.xml><?xml version="1.0" encoding="utf-8"?>
<calcChain xmlns="http://schemas.openxmlformats.org/spreadsheetml/2006/main">
  <c r="H13" i="2"/>
  <c r="H3"/>
  <c r="H4"/>
  <c r="H5"/>
  <c r="H6"/>
  <c r="H7"/>
  <c r="H8"/>
  <c r="H9"/>
  <c r="H10"/>
  <c r="H11"/>
  <c r="H2"/>
  <c r="G13"/>
  <c r="G3"/>
  <c r="G4"/>
  <c r="G5"/>
  <c r="G6"/>
  <c r="G7"/>
  <c r="G8"/>
  <c r="G9"/>
  <c r="G10"/>
  <c r="G11"/>
  <c r="G2"/>
  <c r="F13"/>
  <c r="F106" i="1"/>
  <c r="F53"/>
  <c r="F4" i="2"/>
  <c r="D177" i="1"/>
  <c r="E177"/>
  <c r="F177"/>
  <c r="G177"/>
  <c r="E219"/>
  <c r="F219"/>
  <c r="F231" s="1"/>
  <c r="G219"/>
  <c r="G231" s="1"/>
  <c r="E213"/>
  <c r="F213"/>
  <c r="F229" s="1"/>
  <c r="G213"/>
  <c r="G229" s="1"/>
  <c r="D201"/>
  <c r="E201"/>
  <c r="F201"/>
  <c r="F228" s="1"/>
  <c r="G201"/>
  <c r="G228" s="1"/>
  <c r="E165"/>
  <c r="E226" s="1"/>
  <c r="F165"/>
  <c r="F226" s="1"/>
  <c r="G165"/>
  <c r="G226" s="1"/>
  <c r="E155"/>
  <c r="E225" s="1"/>
  <c r="G155"/>
  <c r="E103"/>
  <c r="E224" s="1"/>
  <c r="F103"/>
  <c r="F224" s="1"/>
  <c r="G103"/>
  <c r="G224" s="1"/>
  <c r="E95"/>
  <c r="E223" s="1"/>
  <c r="G95"/>
  <c r="G223" s="1"/>
  <c r="C74"/>
  <c r="E50"/>
  <c r="E222" s="1"/>
  <c r="F50"/>
  <c r="F222" s="1"/>
  <c r="G50"/>
  <c r="G222" s="1"/>
  <c r="C28"/>
  <c r="E231"/>
  <c r="E229"/>
  <c r="E228"/>
  <c r="D227"/>
  <c r="E227"/>
  <c r="F227"/>
  <c r="G227"/>
  <c r="G225"/>
  <c r="D219"/>
  <c r="D231" s="1"/>
  <c r="C219"/>
  <c r="C231" s="1"/>
  <c r="D213"/>
  <c r="D229" s="1"/>
  <c r="C209"/>
  <c r="C206"/>
  <c r="D228"/>
  <c r="C194"/>
  <c r="C189"/>
  <c r="C187"/>
  <c r="C177"/>
  <c r="C227" s="1"/>
  <c r="D165"/>
  <c r="D226" s="1"/>
  <c r="C163"/>
  <c r="C160"/>
  <c r="C158"/>
  <c r="D155"/>
  <c r="D225" s="1"/>
  <c r="C151"/>
  <c r="C144"/>
  <c r="C134"/>
  <c r="C130"/>
  <c r="C129"/>
  <c r="C126"/>
  <c r="C121"/>
  <c r="C117"/>
  <c r="C116"/>
  <c r="D103"/>
  <c r="D224" s="1"/>
  <c r="C102"/>
  <c r="C101"/>
  <c r="C100"/>
  <c r="C99"/>
  <c r="D95"/>
  <c r="D223" s="1"/>
  <c r="C90"/>
  <c r="C83"/>
  <c r="C82"/>
  <c r="C72"/>
  <c r="C68"/>
  <c r="C65"/>
  <c r="D50"/>
  <c r="D222" s="1"/>
  <c r="C46"/>
  <c r="C43"/>
  <c r="C42"/>
  <c r="C33"/>
  <c r="C32"/>
  <c r="C31"/>
  <c r="C24"/>
  <c r="F155" l="1"/>
  <c r="F225" s="1"/>
  <c r="F95"/>
  <c r="F223" s="1"/>
  <c r="C201"/>
  <c r="C228" s="1"/>
  <c r="C213"/>
  <c r="C229" s="1"/>
  <c r="C155"/>
  <c r="C225" s="1"/>
  <c r="D233"/>
  <c r="C103"/>
  <c r="C224" s="1"/>
  <c r="E233"/>
  <c r="C165"/>
  <c r="C226" s="1"/>
  <c r="G233"/>
  <c r="C95"/>
  <c r="C50"/>
  <c r="C222" s="1"/>
  <c r="F233" l="1"/>
  <c r="C223"/>
  <c r="C233" s="1"/>
</calcChain>
</file>

<file path=xl/sharedStrings.xml><?xml version="1.0" encoding="utf-8"?>
<sst xmlns="http://schemas.openxmlformats.org/spreadsheetml/2006/main" count="482" uniqueCount="138">
  <si>
    <t>XGL</t>
  </si>
  <si>
    <t>101000 - Fast lønn</t>
  </si>
  <si>
    <t>041 - Kirkelig Administrasjon</t>
  </si>
  <si>
    <t>101090 - Feriepenger</t>
  </si>
  <si>
    <t>101091 - Intrekk ferie</t>
  </si>
  <si>
    <t>105000 - Annen lønn og trekkpl. godtgj.</t>
  </si>
  <si>
    <t>105099 - Annen lønn og trekkpl. godtgj. motpost</t>
  </si>
  <si>
    <t>108010 - Møtegodtgjørelse folkevalgte</t>
  </si>
  <si>
    <t>109000 - Pensjonsinnskudd og trekkpl. fors.ordn.</t>
  </si>
  <si>
    <t>109001 - Pensjonsføringer KLP</t>
  </si>
  <si>
    <t>109020 - Arb.givers andel KLP</t>
  </si>
  <si>
    <t>110000 - Kontormateriell og -rekvisita</t>
  </si>
  <si>
    <t>110010 - Faglitteratur/tidsskrifter/aviser</t>
  </si>
  <si>
    <t>111051 - Bevertning (sokn)</t>
  </si>
  <si>
    <t>111060 - Aktivitetsrelatert underv.matr (sokn)</t>
  </si>
  <si>
    <t>112000 - Diverse forbruksmateriell</t>
  </si>
  <si>
    <t>112034 - Gaver og blomster ansatte</t>
  </si>
  <si>
    <t>112047 - Kopiering</t>
  </si>
  <si>
    <t>112090 - Øredifferanse</t>
  </si>
  <si>
    <t>113000 - Post, bank, telefon</t>
  </si>
  <si>
    <t>113010 - Telefon</t>
  </si>
  <si>
    <t>113030 - Porto</t>
  </si>
  <si>
    <t>113090 - Bankgebyrer</t>
  </si>
  <si>
    <t>114000 - Annonser</t>
  </si>
  <si>
    <t>115010 - Kursavgifter og oppholdsutgifter</t>
  </si>
  <si>
    <t>116000 - Kjøre- og diettgodtgjørelse</t>
  </si>
  <si>
    <t>117000 - Reiseutgifter (ikke opplysningspliktig)</t>
  </si>
  <si>
    <t>118500 - Forsikringspremier</t>
  </si>
  <si>
    <t>118510 - Ansvarsforsikring</t>
  </si>
  <si>
    <t>119515 - Diverse avgifter og gebyrer</t>
  </si>
  <si>
    <t>119520 - Kontingenter</t>
  </si>
  <si>
    <t>119530 - Lisenser/brukerstøtteavtaler</t>
  </si>
  <si>
    <t>119540 - Kopieringsavtaler</t>
  </si>
  <si>
    <t>127000 - Konsulenthonorar</t>
  </si>
  <si>
    <t>127060 - Regnskapstjenester</t>
  </si>
  <si>
    <t>133050 - Kjøp fra kommuner</t>
  </si>
  <si>
    <t>139000 - Kalkulatoriske utgifter ved kommunal tjenesteyting (sokn)</t>
  </si>
  <si>
    <t>142900 - Merverdiavgift som gir rett til mva.kompensasjon</t>
  </si>
  <si>
    <t>147050 - OU midler tariff</t>
  </si>
  <si>
    <t>152090 - Kjøp av aksjer og andeler (sokn)</t>
  </si>
  <si>
    <t>170000 - Refusjon fra staten</t>
  </si>
  <si>
    <t>172900 - Kompensasjon mva påløpt i driftsregnskapet</t>
  </si>
  <si>
    <t>179000 - Kalkulatoriske inntekter ved kommunal tjenesteyting (utgår 2016)</t>
  </si>
  <si>
    <t>183000 - Tilskudd fra kommunen (sokn)</t>
  </si>
  <si>
    <t>194000 - Bruk av disposisjonsfond</t>
  </si>
  <si>
    <t>042 - Kirker</t>
  </si>
  <si>
    <t>101080 - Fast tillegg</t>
  </si>
  <si>
    <t>101092 - Feriepenger over 60 år</t>
  </si>
  <si>
    <t>112004 - Renholdsartikler og vaskemidler</t>
  </si>
  <si>
    <t>118000 - Strøm</t>
  </si>
  <si>
    <t>119500 - Kommunale avgifter</t>
  </si>
  <si>
    <t>043 - Gravplasser</t>
  </si>
  <si>
    <t>120000 - Kjøp av inventar og utstyr</t>
  </si>
  <si>
    <t>120010 - Maskinelt utstyr og instrumenter</t>
  </si>
  <si>
    <t>123000 - Tjenester vedr. vedlikehold bygninger/anlegg</t>
  </si>
  <si>
    <t>124000 - Serviceavtaler teknisk utstyr/anlegg</t>
  </si>
  <si>
    <t>124090 - Rep. og vedlikehold div. inventar og utstyr</t>
  </si>
  <si>
    <t>125000 - Materialer vedr. vedlikehold bygninger/anlegg</t>
  </si>
  <si>
    <t>145000 - Tilskudd/gaver til menighetsråd (sokn)</t>
  </si>
  <si>
    <t>146500 - Overføring av ofringer/innsamlede midler (sokn)</t>
  </si>
  <si>
    <t>163000 - Husleieinntekt</t>
  </si>
  <si>
    <t>171000 - Refusjon sykelønn</t>
  </si>
  <si>
    <t>171010 - Refusjon fødselspenger</t>
  </si>
  <si>
    <t>186000 - Offer/innsamlet til egen virksomhet (sokn)</t>
  </si>
  <si>
    <t>186500 - Offer/innsamlet til annen virksomhet, ekst.offer (sokn)</t>
  </si>
  <si>
    <t>103000 - Lønn ekstrahjelp</t>
  </si>
  <si>
    <t>112008 - Arbeidsklær og verneutstyr</t>
  </si>
  <si>
    <t>112016 - Driftsmateriell bygninger</t>
  </si>
  <si>
    <t>112048 - Levering av avfall</t>
  </si>
  <si>
    <t>117010 - Avgifter og forsikringspremie transportmidler</t>
  </si>
  <si>
    <t>117020 - Drivstoff og olje biler og transportmidler</t>
  </si>
  <si>
    <t>117030 - Rep. og vedlikehold transportmidler</t>
  </si>
  <si>
    <t>117050 - Transport/drift av egne og leide transp.midl.</t>
  </si>
  <si>
    <t>122000 - Leie av driftsmidler</t>
  </si>
  <si>
    <t>123020 - Vedlikehold veger</t>
  </si>
  <si>
    <t>123040 - Vedlikehold parker/uteområder</t>
  </si>
  <si>
    <t>124075 - Brøyting/sandstrøing veger</t>
  </si>
  <si>
    <t>125040 - Materialer vedr. vedlikehold parker/uteområder</t>
  </si>
  <si>
    <t>159000 - Avskrivninger</t>
  </si>
  <si>
    <t>160000 - Brukerbetaling ved kirkelige tjenester (sokn)</t>
  </si>
  <si>
    <t>162000 - Annet salg av varer og tjenester, gebyrer</t>
  </si>
  <si>
    <t>199000 - Motpost avskrivninger</t>
  </si>
  <si>
    <t>044 - Annen kirkelig virksomhet</t>
  </si>
  <si>
    <t>154000 - Avsetn. til disposisjonsfond</t>
  </si>
  <si>
    <t>111050 - Matvarer (sokn)</t>
  </si>
  <si>
    <t>119000 - Husleie</t>
  </si>
  <si>
    <t>161000 - Betaling fra deltakere (sokn)</t>
  </si>
  <si>
    <t>177000 - Refusjon fra andre (private)</t>
  </si>
  <si>
    <t>187000 - Tilskudd/gaver fra andre (sokn)</t>
  </si>
  <si>
    <t>089 - Finansieringstransaksjoner</t>
  </si>
  <si>
    <t>158000 - Ikke disponert netto driftsresultat</t>
  </si>
  <si>
    <t>190000 - Renteinntekter</t>
  </si>
  <si>
    <t>1100 - Administrasjon</t>
  </si>
  <si>
    <t>Ansvar 1200 - Kirka</t>
  </si>
  <si>
    <t>Ansvar 1210 - Kongsfjord Kapell</t>
  </si>
  <si>
    <t>Ansvar 1300 - Kirkegårder</t>
  </si>
  <si>
    <t>Ansvar 1310 - Kirkegård Kongfjord</t>
  </si>
  <si>
    <t>Ansvar 1400 - Andre kirkelige formål</t>
  </si>
  <si>
    <t>Ansvar 1401 - Barneklubb</t>
  </si>
  <si>
    <t>Ansvar 1402 - Konfirmanter</t>
  </si>
  <si>
    <t>Ansvar 1900 - Finanstransaksjoner</t>
  </si>
  <si>
    <t>1200 - Kirke</t>
  </si>
  <si>
    <t>1210 - Kongfjord kapell</t>
  </si>
  <si>
    <t>1300 - Kirkegårder</t>
  </si>
  <si>
    <t>1310 - Kirkegård Kongfjord</t>
  </si>
  <si>
    <t>1400 - Andre kirkelige formål</t>
  </si>
  <si>
    <t>1401 - Barneklubb</t>
  </si>
  <si>
    <t>1402 - Konfirmanter</t>
  </si>
  <si>
    <t>1410 - Kongsfjord kapell - renovering</t>
  </si>
  <si>
    <t>1900 - Finanstransaksjoner</t>
  </si>
  <si>
    <t>Sum</t>
  </si>
  <si>
    <t>Summering - kontroll</t>
  </si>
  <si>
    <t>Regnskap 2015</t>
  </si>
  <si>
    <t>Budsjett 2016</t>
  </si>
  <si>
    <t>Budsjett 2015</t>
  </si>
  <si>
    <t>Budsjett 2017</t>
  </si>
  <si>
    <t>Budsjett 2018</t>
  </si>
  <si>
    <t>102000 - Vikarlønn</t>
  </si>
  <si>
    <t>120020 -  Mediautstyr</t>
  </si>
  <si>
    <t>102000- Vikarlønn</t>
  </si>
  <si>
    <t>043 Gravplasser</t>
  </si>
  <si>
    <t>119010 - Leie av lokaler</t>
  </si>
  <si>
    <t>Lønnsark</t>
  </si>
  <si>
    <t>Adm</t>
  </si>
  <si>
    <t>Jan Einar Straumsnes</t>
  </si>
  <si>
    <t>Årslønn</t>
  </si>
  <si>
    <t>Stilling</t>
  </si>
  <si>
    <t>Årslønn inl FP</t>
  </si>
  <si>
    <t>Kirka</t>
  </si>
  <si>
    <t>Kim Are Amundsen</t>
  </si>
  <si>
    <t>Terje Blickfeldt</t>
  </si>
  <si>
    <t>Krikegårder</t>
  </si>
  <si>
    <t>Tillegg lør/søn</t>
  </si>
  <si>
    <t>Lør/søn-tillegg</t>
  </si>
  <si>
    <t>Barneklubb</t>
  </si>
  <si>
    <t>Elin og Beate</t>
  </si>
  <si>
    <t>Andel</t>
  </si>
  <si>
    <t>KLP</t>
  </si>
</sst>
</file>

<file path=xl/styles.xml><?xml version="1.0" encoding="utf-8"?>
<styleSheet xmlns="http://schemas.openxmlformats.org/spreadsheetml/2006/main">
  <fonts count="5">
    <font>
      <sz val="11"/>
      <name val="Calibri"/>
    </font>
    <font>
      <sz val="11"/>
      <color rgb="FFDC143C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DC143C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EEEE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D3D3D3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D3D3D3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/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/>
    <xf numFmtId="4" fontId="0" fillId="0" borderId="0" xfId="0" applyNumberFormat="1" applyFont="1"/>
    <xf numFmtId="0" fontId="2" fillId="3" borderId="0" xfId="0" applyFont="1" applyFill="1"/>
    <xf numFmtId="4" fontId="2" fillId="3" borderId="0" xfId="0" applyNumberFormat="1" applyFont="1" applyFill="1"/>
    <xf numFmtId="0" fontId="3" fillId="0" borderId="0" xfId="0" applyFont="1"/>
    <xf numFmtId="0" fontId="0" fillId="0" borderId="0" xfId="0" applyFont="1" applyFill="1" applyBorder="1"/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/>
    <xf numFmtId="0" fontId="0" fillId="0" borderId="0" xfId="0" applyFont="1" applyFill="1"/>
    <xf numFmtId="4" fontId="2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/>
    <xf numFmtId="4" fontId="2" fillId="3" borderId="3" xfId="0" applyNumberFormat="1" applyFont="1" applyFill="1" applyBorder="1"/>
    <xf numFmtId="4" fontId="2" fillId="0" borderId="0" xfId="0" applyNumberFormat="1" applyFont="1"/>
    <xf numFmtId="0" fontId="2" fillId="0" borderId="0" xfId="0" applyFont="1"/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/>
    <xf numFmtId="4" fontId="2" fillId="4" borderId="3" xfId="0" applyNumberFormat="1" applyFont="1" applyFill="1" applyBorder="1"/>
    <xf numFmtId="0" fontId="2" fillId="2" borderId="2" xfId="0" applyFont="1" applyFill="1" applyBorder="1"/>
    <xf numFmtId="4" fontId="4" fillId="2" borderId="2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0" fontId="0" fillId="5" borderId="0" xfId="0" applyFont="1" applyFill="1"/>
    <xf numFmtId="0" fontId="0" fillId="6" borderId="0" xfId="0" applyFont="1" applyFill="1"/>
    <xf numFmtId="0" fontId="2" fillId="6" borderId="0" xfId="0" applyFont="1" applyFill="1"/>
    <xf numFmtId="4" fontId="0" fillId="0" borderId="0" xfId="0" applyNumberFormat="1"/>
    <xf numFmtId="4" fontId="3" fillId="0" borderId="0" xfId="0" applyNumberFormat="1" applyFont="1"/>
    <xf numFmtId="0" fontId="2" fillId="2" borderId="0" xfId="0" applyFont="1" applyFill="1" applyBorder="1"/>
    <xf numFmtId="4" fontId="2" fillId="6" borderId="0" xfId="0" applyNumberFormat="1" applyFont="1" applyFill="1"/>
    <xf numFmtId="4" fontId="0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0" fillId="7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3"/>
  <sheetViews>
    <sheetView tabSelected="1" topLeftCell="A19" workbookViewId="0">
      <selection activeCell="F39" sqref="F39"/>
    </sheetView>
  </sheetViews>
  <sheetFormatPr baseColWidth="10" defaultColWidth="9.140625" defaultRowHeight="15"/>
  <cols>
    <col min="1" max="1" width="67.28515625" customWidth="1"/>
    <col min="2" max="2" width="29.7109375" bestFit="1" customWidth="1"/>
    <col min="3" max="4" width="13.42578125" style="4" customWidth="1"/>
    <col min="5" max="7" width="12.85546875" style="4" bestFit="1" customWidth="1"/>
    <col min="8" max="11" width="9.140625" style="4"/>
  </cols>
  <sheetData>
    <row r="1" spans="1:11" s="16" customFormat="1">
      <c r="A1" s="17" t="s">
        <v>92</v>
      </c>
      <c r="B1" s="17" t="s">
        <v>0</v>
      </c>
      <c r="C1" s="18" t="s">
        <v>112</v>
      </c>
      <c r="D1" s="19" t="s">
        <v>114</v>
      </c>
      <c r="E1" s="20" t="s">
        <v>113</v>
      </c>
      <c r="F1" s="20" t="s">
        <v>115</v>
      </c>
      <c r="G1" s="20" t="s">
        <v>116</v>
      </c>
      <c r="H1" s="15"/>
      <c r="I1" s="15"/>
      <c r="J1" s="15"/>
      <c r="K1" s="15"/>
    </row>
    <row r="2" spans="1:11">
      <c r="A2" t="s">
        <v>1</v>
      </c>
      <c r="B2" t="s">
        <v>2</v>
      </c>
      <c r="C2" s="1">
        <v>333200.03999999998</v>
      </c>
      <c r="D2" s="1">
        <v>352158</v>
      </c>
      <c r="E2" s="4">
        <v>352157</v>
      </c>
      <c r="F2" s="4">
        <v>360381</v>
      </c>
      <c r="H2" s="28"/>
    </row>
    <row r="3" spans="1:11">
      <c r="A3" t="s">
        <v>3</v>
      </c>
      <c r="B3" t="s">
        <v>2</v>
      </c>
      <c r="C3" s="1">
        <v>36661.67</v>
      </c>
    </row>
    <row r="4" spans="1:11">
      <c r="A4" t="s">
        <v>4</v>
      </c>
      <c r="B4" t="s">
        <v>2</v>
      </c>
      <c r="C4" s="2">
        <v>-27686.12</v>
      </c>
    </row>
    <row r="5" spans="1:11">
      <c r="A5" s="3" t="s">
        <v>117</v>
      </c>
      <c r="B5" s="3" t="s">
        <v>2</v>
      </c>
      <c r="C5" s="2"/>
      <c r="F5" s="4">
        <v>30000</v>
      </c>
    </row>
    <row r="6" spans="1:11">
      <c r="A6" s="11" t="s">
        <v>5</v>
      </c>
      <c r="B6" t="s">
        <v>2</v>
      </c>
      <c r="C6" s="1">
        <v>1748</v>
      </c>
    </row>
    <row r="7" spans="1:11">
      <c r="A7" s="11" t="s">
        <v>5</v>
      </c>
      <c r="B7" t="s">
        <v>2</v>
      </c>
      <c r="C7" s="1">
        <v>17637</v>
      </c>
    </row>
    <row r="8" spans="1:11">
      <c r="A8" s="11" t="s">
        <v>6</v>
      </c>
      <c r="B8" t="s">
        <v>2</v>
      </c>
      <c r="C8" s="2">
        <v>-168</v>
      </c>
    </row>
    <row r="9" spans="1:11">
      <c r="A9" s="11" t="s">
        <v>6</v>
      </c>
      <c r="B9" t="s">
        <v>2</v>
      </c>
      <c r="C9" s="2">
        <v>-9617</v>
      </c>
    </row>
    <row r="10" spans="1:11">
      <c r="A10" t="s">
        <v>7</v>
      </c>
      <c r="B10" t="s">
        <v>2</v>
      </c>
      <c r="D10" s="1">
        <v>10000</v>
      </c>
      <c r="E10" s="4">
        <v>15000</v>
      </c>
      <c r="F10" s="4">
        <v>10000</v>
      </c>
    </row>
    <row r="11" spans="1:11">
      <c r="A11" t="s">
        <v>8</v>
      </c>
      <c r="B11" t="s">
        <v>2</v>
      </c>
      <c r="C11" s="1">
        <v>707</v>
      </c>
    </row>
    <row r="12" spans="1:11">
      <c r="A12" t="s">
        <v>9</v>
      </c>
      <c r="B12" t="s">
        <v>2</v>
      </c>
      <c r="C12" s="2">
        <v>-10787.27</v>
      </c>
    </row>
    <row r="13" spans="1:11">
      <c r="A13" t="s">
        <v>10</v>
      </c>
      <c r="B13" t="s">
        <v>2</v>
      </c>
      <c r="D13" s="1">
        <v>75500</v>
      </c>
      <c r="E13" s="4">
        <v>55000</v>
      </c>
      <c r="F13" s="33">
        <v>78000</v>
      </c>
      <c r="H13" s="28"/>
    </row>
    <row r="14" spans="1:11">
      <c r="A14" t="s">
        <v>10</v>
      </c>
      <c r="B14" t="s">
        <v>2</v>
      </c>
      <c r="C14" s="1">
        <v>35719.08</v>
      </c>
    </row>
    <row r="15" spans="1:11">
      <c r="A15" t="s">
        <v>11</v>
      </c>
      <c r="B15" t="s">
        <v>2</v>
      </c>
      <c r="C15" s="1">
        <v>3985.8</v>
      </c>
      <c r="D15" s="1">
        <v>2000</v>
      </c>
      <c r="E15" s="4">
        <v>2000</v>
      </c>
      <c r="F15" s="4">
        <v>3000</v>
      </c>
    </row>
    <row r="16" spans="1:11">
      <c r="A16" t="s">
        <v>12</v>
      </c>
      <c r="B16" t="s">
        <v>2</v>
      </c>
      <c r="C16" s="1">
        <v>435</v>
      </c>
      <c r="E16" s="4">
        <v>1000</v>
      </c>
    </row>
    <row r="17" spans="1:6">
      <c r="A17" t="s">
        <v>13</v>
      </c>
      <c r="B17" t="s">
        <v>2</v>
      </c>
      <c r="C17" s="1">
        <v>1040.18</v>
      </c>
      <c r="E17" s="4">
        <v>1000</v>
      </c>
      <c r="F17" s="4">
        <v>1000</v>
      </c>
    </row>
    <row r="18" spans="1:6">
      <c r="A18" t="s">
        <v>14</v>
      </c>
      <c r="B18" t="s">
        <v>2</v>
      </c>
      <c r="C18" s="1">
        <v>1979</v>
      </c>
    </row>
    <row r="19" spans="1:6">
      <c r="A19" t="s">
        <v>15</v>
      </c>
      <c r="B19" t="s">
        <v>2</v>
      </c>
      <c r="C19" s="1">
        <v>420.72</v>
      </c>
      <c r="D19" s="1">
        <v>1500</v>
      </c>
      <c r="E19" s="4">
        <v>1500</v>
      </c>
      <c r="F19" s="4">
        <v>1000</v>
      </c>
    </row>
    <row r="20" spans="1:6">
      <c r="A20" t="s">
        <v>16</v>
      </c>
      <c r="B20" t="s">
        <v>2</v>
      </c>
      <c r="C20" s="1">
        <v>1890</v>
      </c>
      <c r="F20" s="4">
        <v>2000</v>
      </c>
    </row>
    <row r="21" spans="1:6">
      <c r="A21" t="s">
        <v>17</v>
      </c>
      <c r="B21" t="s">
        <v>2</v>
      </c>
      <c r="D21" s="1">
        <v>1500</v>
      </c>
      <c r="E21" s="4">
        <v>1500</v>
      </c>
      <c r="F21" s="4">
        <v>1000</v>
      </c>
    </row>
    <row r="22" spans="1:6">
      <c r="A22" t="s">
        <v>18</v>
      </c>
      <c r="B22" t="s">
        <v>2</v>
      </c>
      <c r="C22" s="1">
        <v>1.82</v>
      </c>
    </row>
    <row r="23" spans="1:6">
      <c r="A23" t="s">
        <v>19</v>
      </c>
      <c r="B23" t="s">
        <v>2</v>
      </c>
      <c r="C23" s="1">
        <v>816</v>
      </c>
      <c r="D23" s="4">
        <v>1000</v>
      </c>
      <c r="E23" s="4">
        <v>500</v>
      </c>
      <c r="F23" s="4">
        <v>1000</v>
      </c>
    </row>
    <row r="24" spans="1:6">
      <c r="A24" t="s">
        <v>20</v>
      </c>
      <c r="B24" t="s">
        <v>2</v>
      </c>
      <c r="C24" s="1">
        <f>(920.91+900.96)</f>
        <v>1821.87</v>
      </c>
      <c r="D24" s="1">
        <v>1500</v>
      </c>
      <c r="E24" s="4">
        <v>1500</v>
      </c>
      <c r="F24" s="4">
        <v>2000</v>
      </c>
    </row>
    <row r="25" spans="1:6">
      <c r="A25" t="s">
        <v>21</v>
      </c>
      <c r="B25" t="s">
        <v>2</v>
      </c>
      <c r="C25" s="1">
        <v>652.57000000000005</v>
      </c>
      <c r="D25" s="1">
        <v>1000</v>
      </c>
      <c r="E25" s="4">
        <v>1000</v>
      </c>
      <c r="F25" s="4">
        <v>1000</v>
      </c>
    </row>
    <row r="26" spans="1:6">
      <c r="A26" s="24" t="s">
        <v>22</v>
      </c>
      <c r="B26" t="s">
        <v>2</v>
      </c>
      <c r="C26" s="1">
        <v>2534.5</v>
      </c>
    </row>
    <row r="27" spans="1:6">
      <c r="A27" t="s">
        <v>23</v>
      </c>
      <c r="B27" t="s">
        <v>2</v>
      </c>
      <c r="C27" s="1">
        <v>4725</v>
      </c>
      <c r="D27" s="1">
        <v>2000</v>
      </c>
      <c r="E27" s="4">
        <v>2000</v>
      </c>
      <c r="F27" s="4">
        <v>5000</v>
      </c>
    </row>
    <row r="28" spans="1:6">
      <c r="A28" t="s">
        <v>24</v>
      </c>
      <c r="B28" t="s">
        <v>2</v>
      </c>
      <c r="C28" s="1">
        <f>(21712+33346.99)</f>
        <v>55058.99</v>
      </c>
      <c r="D28" s="1">
        <v>25000</v>
      </c>
      <c r="E28" s="4">
        <v>15000</v>
      </c>
      <c r="F28" s="4">
        <v>15000</v>
      </c>
    </row>
    <row r="29" spans="1:6">
      <c r="A29" t="s">
        <v>24</v>
      </c>
      <c r="B29" t="s">
        <v>2</v>
      </c>
      <c r="C29" s="1"/>
    </row>
    <row r="30" spans="1:6">
      <c r="A30" t="s">
        <v>25</v>
      </c>
      <c r="B30" t="s">
        <v>2</v>
      </c>
      <c r="C30" s="1">
        <v>15492.2</v>
      </c>
      <c r="D30" s="1">
        <v>2500</v>
      </c>
      <c r="E30" s="4">
        <v>5000</v>
      </c>
      <c r="F30" s="4">
        <v>5000</v>
      </c>
    </row>
    <row r="31" spans="1:6">
      <c r="A31" t="s">
        <v>26</v>
      </c>
      <c r="B31" t="s">
        <v>2</v>
      </c>
      <c r="C31" s="1">
        <f>(6671.94+12957.16)</f>
        <v>19629.099999999999</v>
      </c>
      <c r="E31" s="4">
        <v>5000</v>
      </c>
      <c r="F31" s="4">
        <v>5000</v>
      </c>
    </row>
    <row r="32" spans="1:6">
      <c r="A32" t="s">
        <v>27</v>
      </c>
      <c r="B32" t="s">
        <v>2</v>
      </c>
      <c r="C32" s="1">
        <f>(2977+7043)</f>
        <v>10020</v>
      </c>
      <c r="D32" s="1">
        <v>10000</v>
      </c>
      <c r="E32" s="4">
        <v>10000</v>
      </c>
      <c r="F32" s="4">
        <v>10000</v>
      </c>
    </row>
    <row r="33" spans="1:9">
      <c r="A33" t="s">
        <v>28</v>
      </c>
      <c r="B33" t="s">
        <v>2</v>
      </c>
      <c r="C33" s="1">
        <f>(4396+475)</f>
        <v>4871</v>
      </c>
      <c r="F33" s="4">
        <v>5000</v>
      </c>
    </row>
    <row r="34" spans="1:9">
      <c r="A34" t="s">
        <v>29</v>
      </c>
      <c r="B34" t="s">
        <v>2</v>
      </c>
      <c r="C34" s="1">
        <v>90</v>
      </c>
      <c r="E34" s="4">
        <v>10000</v>
      </c>
    </row>
    <row r="35" spans="1:9">
      <c r="A35" t="s">
        <v>30</v>
      </c>
      <c r="B35" t="s">
        <v>2</v>
      </c>
      <c r="C35" s="1">
        <v>10051</v>
      </c>
      <c r="D35" s="4">
        <v>15000</v>
      </c>
      <c r="F35" s="4">
        <v>10000</v>
      </c>
    </row>
    <row r="36" spans="1:9">
      <c r="A36" t="s">
        <v>31</v>
      </c>
      <c r="B36" t="s">
        <v>2</v>
      </c>
      <c r="C36" s="1">
        <v>8887</v>
      </c>
      <c r="D36" s="4">
        <v>20000</v>
      </c>
      <c r="E36" s="4">
        <v>15000</v>
      </c>
      <c r="F36" s="33">
        <v>20000</v>
      </c>
    </row>
    <row r="37" spans="1:9">
      <c r="A37" t="s">
        <v>32</v>
      </c>
      <c r="B37" t="s">
        <v>2</v>
      </c>
      <c r="C37" s="1">
        <v>1509</v>
      </c>
    </row>
    <row r="38" spans="1:9">
      <c r="A38" t="s">
        <v>33</v>
      </c>
      <c r="B38" t="s">
        <v>2</v>
      </c>
      <c r="C38" s="1">
        <v>4628</v>
      </c>
    </row>
    <row r="39" spans="1:9">
      <c r="A39" t="s">
        <v>34</v>
      </c>
      <c r="B39" t="s">
        <v>2</v>
      </c>
      <c r="C39" s="1">
        <v>28520</v>
      </c>
      <c r="F39" s="33">
        <v>30000</v>
      </c>
      <c r="I39" s="28"/>
    </row>
    <row r="40" spans="1:9">
      <c r="A40" t="s">
        <v>35</v>
      </c>
      <c r="B40" t="s">
        <v>2</v>
      </c>
      <c r="C40" s="1">
        <v>30000</v>
      </c>
      <c r="D40" s="1">
        <v>30000</v>
      </c>
      <c r="E40" s="4">
        <v>30000</v>
      </c>
      <c r="F40" s="4">
        <v>30000</v>
      </c>
    </row>
    <row r="41" spans="1:9">
      <c r="A41" s="11" t="s">
        <v>36</v>
      </c>
      <c r="B41" t="s">
        <v>2</v>
      </c>
      <c r="C41" s="1">
        <v>150973</v>
      </c>
      <c r="D41" s="31">
        <v>151000</v>
      </c>
      <c r="I41" s="28"/>
    </row>
    <row r="42" spans="1:9">
      <c r="A42" t="s">
        <v>37</v>
      </c>
      <c r="B42" t="s">
        <v>2</v>
      </c>
      <c r="C42" s="1">
        <f>(10559.96+5214.69)</f>
        <v>15774.649999999998</v>
      </c>
      <c r="D42" s="1">
        <v>20000</v>
      </c>
      <c r="E42" s="4">
        <v>20000</v>
      </c>
      <c r="F42" s="4">
        <v>20000</v>
      </c>
    </row>
    <row r="43" spans="1:9">
      <c r="A43" t="s">
        <v>38</v>
      </c>
      <c r="B43" t="s">
        <v>2</v>
      </c>
      <c r="C43" s="1">
        <f>(1262.51-414)</f>
        <v>848.51</v>
      </c>
    </row>
    <row r="44" spans="1:9">
      <c r="A44" t="s">
        <v>39</v>
      </c>
      <c r="B44" t="s">
        <v>2</v>
      </c>
      <c r="C44" s="1">
        <v>8563</v>
      </c>
      <c r="D44" s="1">
        <v>8500</v>
      </c>
    </row>
    <row r="45" spans="1:9">
      <c r="A45" s="24" t="s">
        <v>40</v>
      </c>
      <c r="B45" t="s">
        <v>2</v>
      </c>
      <c r="C45" s="2">
        <v>-16527</v>
      </c>
    </row>
    <row r="46" spans="1:9">
      <c r="A46" t="s">
        <v>41</v>
      </c>
      <c r="B46" t="s">
        <v>2</v>
      </c>
      <c r="C46" s="2">
        <f>(-10559.96-5214.69)</f>
        <v>-15774.649999999998</v>
      </c>
      <c r="D46" s="2">
        <v>-20000</v>
      </c>
      <c r="E46" s="4">
        <v>-20000</v>
      </c>
      <c r="F46" s="4">
        <v>-20000</v>
      </c>
    </row>
    <row r="47" spans="1:9">
      <c r="A47" s="11" t="s">
        <v>42</v>
      </c>
      <c r="B47" t="s">
        <v>2</v>
      </c>
      <c r="C47" s="2">
        <v>-150973</v>
      </c>
      <c r="D47" s="32">
        <v>-151000</v>
      </c>
      <c r="I47" s="28"/>
    </row>
    <row r="48" spans="1:9">
      <c r="A48" t="s">
        <v>43</v>
      </c>
      <c r="B48" t="s">
        <v>2</v>
      </c>
      <c r="C48" s="2">
        <v>-1648000</v>
      </c>
      <c r="D48" s="2">
        <v>-1648000</v>
      </c>
      <c r="E48" s="4">
        <v>-1648000</v>
      </c>
      <c r="F48" s="33">
        <v>-1889086</v>
      </c>
    </row>
    <row r="49" spans="1:11">
      <c r="A49" t="s">
        <v>44</v>
      </c>
      <c r="B49" t="s">
        <v>2</v>
      </c>
      <c r="C49" s="2">
        <v>-57895</v>
      </c>
      <c r="D49" s="2">
        <v>-57895</v>
      </c>
    </row>
    <row r="50" spans="1:11" s="16" customFormat="1" ht="15.75" thickBot="1">
      <c r="A50" s="21"/>
      <c r="B50" s="21"/>
      <c r="C50" s="22">
        <f>SUM(C2:C49)</f>
        <v>-1126537.3400000001</v>
      </c>
      <c r="D50" s="22">
        <f>SUM(D2:D49)</f>
        <v>-1146737</v>
      </c>
      <c r="E50" s="22">
        <f t="shared" ref="E50:G50" si="0">SUM(E2:E49)</f>
        <v>-1123843</v>
      </c>
      <c r="F50" s="22">
        <f t="shared" si="0"/>
        <v>-1263705</v>
      </c>
      <c r="G50" s="22">
        <f t="shared" si="0"/>
        <v>0</v>
      </c>
      <c r="H50" s="15"/>
      <c r="I50" s="15"/>
      <c r="J50" s="15"/>
      <c r="K50" s="15"/>
    </row>
    <row r="51" spans="1:11" ht="15.75" thickTop="1"/>
    <row r="52" spans="1:11" s="16" customFormat="1">
      <c r="A52" s="17" t="s">
        <v>93</v>
      </c>
      <c r="B52" s="17" t="s">
        <v>0</v>
      </c>
      <c r="C52" s="18" t="s">
        <v>112</v>
      </c>
      <c r="D52" s="19" t="s">
        <v>114</v>
      </c>
      <c r="E52" s="20" t="s">
        <v>113</v>
      </c>
      <c r="F52" s="20" t="s">
        <v>115</v>
      </c>
      <c r="G52" s="20" t="s">
        <v>116</v>
      </c>
      <c r="H52" s="15"/>
      <c r="I52" s="15"/>
      <c r="J52" s="15"/>
      <c r="K52" s="15"/>
    </row>
    <row r="53" spans="1:11">
      <c r="A53" t="s">
        <v>1</v>
      </c>
      <c r="B53" t="s">
        <v>45</v>
      </c>
      <c r="C53" s="1">
        <v>346733.32</v>
      </c>
      <c r="D53" s="4">
        <v>362019</v>
      </c>
      <c r="E53" s="4">
        <v>370000</v>
      </c>
      <c r="F53" s="4">
        <f>SUM(Lønn!F4:F5)</f>
        <v>370707.5</v>
      </c>
      <c r="I53" s="28"/>
    </row>
    <row r="54" spans="1:11">
      <c r="A54" t="s">
        <v>46</v>
      </c>
      <c r="B54" t="s">
        <v>45</v>
      </c>
      <c r="C54" s="1">
        <v>7200</v>
      </c>
    </row>
    <row r="55" spans="1:11">
      <c r="A55" t="s">
        <v>3</v>
      </c>
      <c r="B55" t="s">
        <v>45</v>
      </c>
      <c r="C55" s="1">
        <v>37970.74</v>
      </c>
    </row>
    <row r="56" spans="1:11">
      <c r="A56" t="s">
        <v>4</v>
      </c>
      <c r="B56" t="s">
        <v>45</v>
      </c>
      <c r="C56" s="2">
        <v>-37510.53</v>
      </c>
    </row>
    <row r="57" spans="1:11">
      <c r="A57" t="s">
        <v>47</v>
      </c>
      <c r="B57" t="s">
        <v>45</v>
      </c>
      <c r="C57" s="1">
        <v>3666.65</v>
      </c>
    </row>
    <row r="58" spans="1:11">
      <c r="A58" s="7" t="s">
        <v>117</v>
      </c>
      <c r="B58" s="7" t="s">
        <v>45</v>
      </c>
      <c r="C58" s="1"/>
      <c r="E58" s="4">
        <v>15000</v>
      </c>
      <c r="F58" s="4">
        <v>15000</v>
      </c>
    </row>
    <row r="59" spans="1:11">
      <c r="A59" t="s">
        <v>5</v>
      </c>
      <c r="B59" t="s">
        <v>45</v>
      </c>
      <c r="C59" s="1">
        <v>120</v>
      </c>
      <c r="F59" s="10">
        <v>3600</v>
      </c>
      <c r="I59" s="28"/>
    </row>
    <row r="60" spans="1:11">
      <c r="A60" t="s">
        <v>9</v>
      </c>
      <c r="B60" t="s">
        <v>45</v>
      </c>
      <c r="C60" s="2">
        <v>-11458.48</v>
      </c>
    </row>
    <row r="61" spans="1:11">
      <c r="A61" t="s">
        <v>10</v>
      </c>
      <c r="B61" t="s">
        <v>45</v>
      </c>
      <c r="C61" s="1">
        <v>37941.660000000003</v>
      </c>
      <c r="D61" s="4">
        <v>89000</v>
      </c>
      <c r="E61" s="4">
        <v>60000</v>
      </c>
      <c r="F61" s="33">
        <v>81148</v>
      </c>
      <c r="I61" s="28"/>
    </row>
    <row r="62" spans="1:11">
      <c r="A62" t="s">
        <v>11</v>
      </c>
      <c r="B62" t="s">
        <v>45</v>
      </c>
      <c r="D62" s="1">
        <v>1000</v>
      </c>
      <c r="E62" s="4">
        <v>1000</v>
      </c>
    </row>
    <row r="63" spans="1:11">
      <c r="A63" t="s">
        <v>13</v>
      </c>
      <c r="B63" t="s">
        <v>45</v>
      </c>
      <c r="C63" s="1">
        <v>58.8</v>
      </c>
    </row>
    <row r="64" spans="1:11">
      <c r="A64" t="s">
        <v>15</v>
      </c>
      <c r="B64" t="s">
        <v>45</v>
      </c>
      <c r="C64" s="1">
        <v>110</v>
      </c>
      <c r="D64" s="1">
        <v>5000</v>
      </c>
      <c r="E64" s="4">
        <v>5000</v>
      </c>
      <c r="F64" s="4">
        <v>10000</v>
      </c>
    </row>
    <row r="65" spans="1:6">
      <c r="A65" t="s">
        <v>48</v>
      </c>
      <c r="B65" t="s">
        <v>45</v>
      </c>
      <c r="C65" s="1">
        <f>(255.19+99.04)</f>
        <v>354.23</v>
      </c>
      <c r="E65" s="4">
        <v>1000</v>
      </c>
      <c r="F65" s="4">
        <v>1000</v>
      </c>
    </row>
    <row r="66" spans="1:6">
      <c r="A66" s="7" t="s">
        <v>68</v>
      </c>
      <c r="B66" s="7" t="s">
        <v>45</v>
      </c>
      <c r="C66" s="1"/>
      <c r="E66" s="4">
        <v>500</v>
      </c>
    </row>
    <row r="67" spans="1:6">
      <c r="A67" t="s">
        <v>19</v>
      </c>
      <c r="B67" t="s">
        <v>45</v>
      </c>
      <c r="D67" s="1">
        <v>500</v>
      </c>
      <c r="E67" s="4">
        <v>500</v>
      </c>
    </row>
    <row r="68" spans="1:6">
      <c r="A68" t="s">
        <v>20</v>
      </c>
      <c r="B68" t="s">
        <v>45</v>
      </c>
      <c r="C68" s="1">
        <f>(447.02+670.5)</f>
        <v>1117.52</v>
      </c>
      <c r="D68" s="1">
        <v>2000</v>
      </c>
      <c r="E68" s="4">
        <v>1000</v>
      </c>
      <c r="F68" s="4">
        <v>1000</v>
      </c>
    </row>
    <row r="69" spans="1:6">
      <c r="A69" t="s">
        <v>21</v>
      </c>
      <c r="B69" t="s">
        <v>45</v>
      </c>
      <c r="C69" s="1">
        <v>578.57000000000005</v>
      </c>
      <c r="F69" s="4">
        <v>1000</v>
      </c>
    </row>
    <row r="70" spans="1:6">
      <c r="A70" t="s">
        <v>23</v>
      </c>
      <c r="B70" t="s">
        <v>45</v>
      </c>
      <c r="D70" s="1">
        <v>5000</v>
      </c>
      <c r="E70" s="4">
        <v>5000</v>
      </c>
    </row>
    <row r="71" spans="1:6">
      <c r="A71" t="s">
        <v>25</v>
      </c>
      <c r="B71" t="s">
        <v>45</v>
      </c>
      <c r="D71" s="1">
        <v>5000</v>
      </c>
      <c r="E71" s="4">
        <v>5000</v>
      </c>
      <c r="F71" s="4">
        <v>5000</v>
      </c>
    </row>
    <row r="72" spans="1:6">
      <c r="A72" t="s">
        <v>49</v>
      </c>
      <c r="B72" t="s">
        <v>45</v>
      </c>
      <c r="C72" s="1">
        <f>(21850.76+40550.9)</f>
        <v>62401.66</v>
      </c>
      <c r="D72" s="1">
        <v>70000</v>
      </c>
      <c r="E72" s="4">
        <v>70000</v>
      </c>
      <c r="F72" s="4">
        <v>70000</v>
      </c>
    </row>
    <row r="73" spans="1:6">
      <c r="A73" t="s">
        <v>27</v>
      </c>
      <c r="B73" t="s">
        <v>45</v>
      </c>
      <c r="C73" s="4">
        <v>8921</v>
      </c>
      <c r="D73" s="1">
        <v>15000</v>
      </c>
      <c r="E73" s="4">
        <v>17500</v>
      </c>
      <c r="F73" s="4">
        <v>15000</v>
      </c>
    </row>
    <row r="74" spans="1:6">
      <c r="A74" t="s">
        <v>50</v>
      </c>
      <c r="B74" t="s">
        <v>45</v>
      </c>
      <c r="C74" s="1">
        <f>(14609.26+4778.82+272.8)</f>
        <v>19660.88</v>
      </c>
      <c r="D74" s="1">
        <v>33000</v>
      </c>
      <c r="E74" s="4">
        <v>20000</v>
      </c>
      <c r="F74" s="4">
        <v>20000</v>
      </c>
    </row>
    <row r="75" spans="1:6">
      <c r="A75" t="s">
        <v>31</v>
      </c>
      <c r="B75" t="s">
        <v>45</v>
      </c>
      <c r="C75" s="1">
        <v>5600</v>
      </c>
      <c r="D75" s="1">
        <v>6000</v>
      </c>
      <c r="E75" s="4">
        <v>5000</v>
      </c>
      <c r="F75" s="4">
        <v>5000</v>
      </c>
    </row>
    <row r="76" spans="1:6">
      <c r="A76" t="s">
        <v>52</v>
      </c>
      <c r="B76" t="s">
        <v>45</v>
      </c>
      <c r="D76" s="1">
        <v>5000</v>
      </c>
    </row>
    <row r="77" spans="1:6">
      <c r="A77" t="s">
        <v>53</v>
      </c>
      <c r="B77" t="s">
        <v>45</v>
      </c>
      <c r="C77" s="1">
        <v>44000</v>
      </c>
      <c r="D77" s="1">
        <v>42000</v>
      </c>
    </row>
    <row r="78" spans="1:6">
      <c r="A78" s="7" t="s">
        <v>118</v>
      </c>
      <c r="B78" s="7" t="s">
        <v>45</v>
      </c>
      <c r="C78" s="1"/>
      <c r="D78" s="1"/>
      <c r="E78" s="4">
        <v>5000</v>
      </c>
    </row>
    <row r="79" spans="1:6">
      <c r="A79" t="s">
        <v>54</v>
      </c>
      <c r="B79" t="s">
        <v>45</v>
      </c>
      <c r="D79" s="1">
        <v>10000</v>
      </c>
      <c r="E79" s="4">
        <v>15000</v>
      </c>
      <c r="F79" s="33">
        <v>30000</v>
      </c>
    </row>
    <row r="80" spans="1:6">
      <c r="A80" t="s">
        <v>55</v>
      </c>
      <c r="B80" t="s">
        <v>45</v>
      </c>
      <c r="C80" s="1">
        <v>2624.8</v>
      </c>
      <c r="D80" s="1">
        <v>5000</v>
      </c>
      <c r="E80" s="4">
        <v>5000</v>
      </c>
      <c r="F80" s="4">
        <v>3000</v>
      </c>
    </row>
    <row r="81" spans="1:11">
      <c r="A81" t="s">
        <v>56</v>
      </c>
      <c r="B81" t="s">
        <v>45</v>
      </c>
      <c r="C81" s="1">
        <v>5946.8</v>
      </c>
      <c r="F81" s="4">
        <v>5000</v>
      </c>
    </row>
    <row r="82" spans="1:11">
      <c r="A82" t="s">
        <v>57</v>
      </c>
      <c r="B82" t="s">
        <v>45</v>
      </c>
      <c r="C82" s="1">
        <f>(8806.4+3140.8)</f>
        <v>11947.2</v>
      </c>
      <c r="D82" s="1">
        <v>10000</v>
      </c>
      <c r="E82" s="4">
        <v>15000</v>
      </c>
      <c r="F82" s="33">
        <v>30000</v>
      </c>
    </row>
    <row r="83" spans="1:11">
      <c r="A83" t="s">
        <v>37</v>
      </c>
      <c r="B83" t="s">
        <v>45</v>
      </c>
      <c r="C83" s="1">
        <f>(12836.88+23310.04)</f>
        <v>36146.92</v>
      </c>
      <c r="D83" s="1">
        <v>35000</v>
      </c>
      <c r="E83" s="4">
        <v>35000</v>
      </c>
      <c r="F83" s="10">
        <v>40000</v>
      </c>
    </row>
    <row r="84" spans="1:11">
      <c r="A84" t="s">
        <v>37</v>
      </c>
      <c r="B84" t="s">
        <v>51</v>
      </c>
      <c r="C84" s="1">
        <v>1262.9100000000001</v>
      </c>
    </row>
    <row r="85" spans="1:11">
      <c r="A85" t="s">
        <v>58</v>
      </c>
      <c r="B85" t="s">
        <v>45</v>
      </c>
      <c r="C85" s="1">
        <v>15370</v>
      </c>
      <c r="D85" s="1">
        <v>2000</v>
      </c>
      <c r="E85" s="4">
        <v>2000</v>
      </c>
      <c r="F85" s="4">
        <v>2000</v>
      </c>
    </row>
    <row r="86" spans="1:11">
      <c r="A86" t="s">
        <v>59</v>
      </c>
      <c r="B86" t="s">
        <v>45</v>
      </c>
      <c r="C86" s="1">
        <v>13414</v>
      </c>
    </row>
    <row r="87" spans="1:11">
      <c r="A87" t="s">
        <v>60</v>
      </c>
      <c r="B87" t="s">
        <v>45</v>
      </c>
      <c r="C87" s="2">
        <v>-5000</v>
      </c>
      <c r="F87" s="4">
        <v>-5000</v>
      </c>
      <c r="H87" s="28"/>
    </row>
    <row r="88" spans="1:11">
      <c r="A88" t="s">
        <v>61</v>
      </c>
      <c r="B88" t="s">
        <v>45</v>
      </c>
      <c r="C88" s="2">
        <v>-1268</v>
      </c>
    </row>
    <row r="89" spans="1:11">
      <c r="A89" t="s">
        <v>62</v>
      </c>
      <c r="B89" t="s">
        <v>45</v>
      </c>
      <c r="C89" s="2">
        <v>-36775</v>
      </c>
    </row>
    <row r="90" spans="1:11">
      <c r="A90" t="s">
        <v>41</v>
      </c>
      <c r="B90" t="s">
        <v>45</v>
      </c>
      <c r="C90" s="2">
        <f>(-12836.88-23310.04)</f>
        <v>-36146.92</v>
      </c>
      <c r="D90" s="2">
        <v>-35000</v>
      </c>
      <c r="E90" s="4">
        <v>-35000</v>
      </c>
      <c r="F90" s="4">
        <v>-40000</v>
      </c>
    </row>
    <row r="91" spans="1:11">
      <c r="A91" t="s">
        <v>41</v>
      </c>
      <c r="B91" t="s">
        <v>51</v>
      </c>
      <c r="C91" s="2">
        <v>-1262.9100000000001</v>
      </c>
    </row>
    <row r="92" spans="1:11">
      <c r="A92" t="s">
        <v>63</v>
      </c>
      <c r="B92" t="s">
        <v>45</v>
      </c>
      <c r="C92" s="2">
        <v>-15370</v>
      </c>
      <c r="F92" s="4">
        <v>-10000</v>
      </c>
    </row>
    <row r="93" spans="1:11">
      <c r="A93" t="s">
        <v>64</v>
      </c>
      <c r="B93" t="s">
        <v>45</v>
      </c>
      <c r="C93" s="2">
        <v>-13414</v>
      </c>
      <c r="F93" s="4">
        <v>-5000</v>
      </c>
    </row>
    <row r="94" spans="1:11">
      <c r="A94" t="s">
        <v>44</v>
      </c>
      <c r="B94" t="s">
        <v>45</v>
      </c>
      <c r="C94" s="2">
        <v>-42000</v>
      </c>
      <c r="D94" s="2">
        <v>-42000</v>
      </c>
    </row>
    <row r="95" spans="1:11" s="16" customFormat="1" ht="15.75" thickBot="1">
      <c r="A95" s="21"/>
      <c r="B95" s="21"/>
      <c r="C95" s="23">
        <f>SUM(C53:C94)</f>
        <v>462941.82000000018</v>
      </c>
      <c r="D95" s="23">
        <f>SUM(D53:D94)</f>
        <v>625519</v>
      </c>
      <c r="E95" s="23">
        <f t="shared" ref="E95:G95" si="1">SUM(E53:E94)</f>
        <v>618500</v>
      </c>
      <c r="F95" s="23">
        <f t="shared" si="1"/>
        <v>648455.5</v>
      </c>
      <c r="G95" s="23">
        <f t="shared" si="1"/>
        <v>0</v>
      </c>
      <c r="H95" s="15"/>
      <c r="I95" s="15"/>
      <c r="J95" s="15"/>
      <c r="K95" s="15"/>
    </row>
    <row r="96" spans="1:11" ht="15.75" thickTop="1"/>
    <row r="97" spans="1:11" s="16" customFormat="1">
      <c r="A97" s="17" t="s">
        <v>94</v>
      </c>
      <c r="B97" s="17" t="s">
        <v>0</v>
      </c>
      <c r="C97" s="18" t="s">
        <v>112</v>
      </c>
      <c r="D97" s="19" t="s">
        <v>114</v>
      </c>
      <c r="E97" s="20" t="s">
        <v>113</v>
      </c>
      <c r="F97" s="20" t="s">
        <v>115</v>
      </c>
      <c r="G97" s="20" t="s">
        <v>116</v>
      </c>
      <c r="H97" s="15"/>
      <c r="I97" s="15"/>
      <c r="J97" s="15"/>
      <c r="K97" s="15"/>
    </row>
    <row r="98" spans="1:11">
      <c r="A98" t="s">
        <v>49</v>
      </c>
      <c r="B98" t="s">
        <v>45</v>
      </c>
      <c r="D98" s="1">
        <v>5000</v>
      </c>
      <c r="E98" s="4">
        <v>5000</v>
      </c>
      <c r="F98" s="4">
        <v>5000</v>
      </c>
    </row>
    <row r="99" spans="1:11">
      <c r="A99" t="s">
        <v>27</v>
      </c>
      <c r="B99" t="s">
        <v>45</v>
      </c>
      <c r="C99" s="1">
        <f>(7802+7553)</f>
        <v>15355</v>
      </c>
      <c r="D99" s="1">
        <v>8000</v>
      </c>
      <c r="E99" s="4">
        <v>8000</v>
      </c>
      <c r="F99" s="4">
        <v>8000</v>
      </c>
    </row>
    <row r="100" spans="1:11">
      <c r="A100" t="s">
        <v>50</v>
      </c>
      <c r="B100" t="s">
        <v>45</v>
      </c>
      <c r="C100" s="1">
        <f>(3998.46+1332.82)</f>
        <v>5331.28</v>
      </c>
      <c r="D100" s="1">
        <v>5500</v>
      </c>
      <c r="E100" s="4">
        <v>5500</v>
      </c>
      <c r="F100" s="4">
        <v>6000</v>
      </c>
    </row>
    <row r="101" spans="1:11">
      <c r="A101" t="s">
        <v>37</v>
      </c>
      <c r="B101" t="s">
        <v>45</v>
      </c>
      <c r="C101" s="1">
        <f>(666.42+333.21)</f>
        <v>999.62999999999988</v>
      </c>
      <c r="D101" s="1">
        <v>1000</v>
      </c>
      <c r="F101" s="10">
        <v>2000</v>
      </c>
    </row>
    <row r="102" spans="1:11">
      <c r="A102" t="s">
        <v>41</v>
      </c>
      <c r="B102" t="s">
        <v>45</v>
      </c>
      <c r="C102" s="2">
        <f>(-666.42-333.21)</f>
        <v>-999.62999999999988</v>
      </c>
      <c r="D102" s="2">
        <v>-1000</v>
      </c>
      <c r="F102" s="10">
        <v>-2000</v>
      </c>
    </row>
    <row r="103" spans="1:11" s="16" customFormat="1" ht="15.75" thickBot="1">
      <c r="A103" s="21"/>
      <c r="B103" s="21"/>
      <c r="C103" s="23">
        <f>SUM(C98:C102)</f>
        <v>20686.28</v>
      </c>
      <c r="D103" s="23">
        <f>SUM(D98:D102)</f>
        <v>18500</v>
      </c>
      <c r="E103" s="23">
        <f t="shared" ref="E103:G103" si="2">SUM(E98:E102)</f>
        <v>18500</v>
      </c>
      <c r="F103" s="23">
        <f t="shared" si="2"/>
        <v>19000</v>
      </c>
      <c r="G103" s="23">
        <f t="shared" si="2"/>
        <v>0</v>
      </c>
      <c r="H103" s="15"/>
      <c r="I103" s="15"/>
      <c r="J103" s="15"/>
      <c r="K103" s="15"/>
    </row>
    <row r="104" spans="1:11" ht="15.75" thickTop="1"/>
    <row r="105" spans="1:11" s="16" customFormat="1">
      <c r="A105" s="17" t="s">
        <v>95</v>
      </c>
      <c r="B105" s="17" t="s">
        <v>0</v>
      </c>
      <c r="C105" s="18" t="s">
        <v>112</v>
      </c>
      <c r="D105" s="19" t="s">
        <v>114</v>
      </c>
      <c r="E105" s="20" t="s">
        <v>113</v>
      </c>
      <c r="F105" s="20" t="s">
        <v>115</v>
      </c>
      <c r="G105" s="20" t="s">
        <v>116</v>
      </c>
      <c r="H105" s="15"/>
      <c r="I105" s="15"/>
      <c r="J105" s="15"/>
      <c r="K105" s="15"/>
    </row>
    <row r="106" spans="1:11">
      <c r="A106" t="s">
        <v>1</v>
      </c>
      <c r="B106" t="s">
        <v>51</v>
      </c>
      <c r="C106" s="1">
        <v>70916.649999999994</v>
      </c>
      <c r="D106" s="1">
        <v>177718</v>
      </c>
      <c r="E106" s="4">
        <v>185000</v>
      </c>
      <c r="F106" s="4">
        <f>(Lønn!F8)</f>
        <v>175989.5</v>
      </c>
      <c r="H106" s="28"/>
    </row>
    <row r="107" spans="1:11">
      <c r="A107" s="29" t="s">
        <v>133</v>
      </c>
      <c r="C107" s="1"/>
      <c r="D107" s="1"/>
      <c r="F107" s="4">
        <v>3600</v>
      </c>
      <c r="H107" s="28"/>
    </row>
    <row r="108" spans="1:11">
      <c r="A108" s="11" t="s">
        <v>1</v>
      </c>
      <c r="B108" t="s">
        <v>2</v>
      </c>
      <c r="C108" s="1">
        <v>99199.99</v>
      </c>
    </row>
    <row r="109" spans="1:11">
      <c r="A109" t="s">
        <v>3</v>
      </c>
      <c r="B109" t="s">
        <v>51</v>
      </c>
      <c r="C109" s="1">
        <v>9054.83</v>
      </c>
    </row>
    <row r="110" spans="1:11">
      <c r="A110" t="s">
        <v>3</v>
      </c>
      <c r="B110" t="s">
        <v>2</v>
      </c>
      <c r="C110" s="1">
        <v>9943.0400000000009</v>
      </c>
    </row>
    <row r="111" spans="1:11">
      <c r="A111" t="s">
        <v>4</v>
      </c>
      <c r="B111" t="s">
        <v>51</v>
      </c>
      <c r="C111" s="2">
        <v>-24.03</v>
      </c>
    </row>
    <row r="112" spans="1:11">
      <c r="A112" t="s">
        <v>4</v>
      </c>
      <c r="B112" t="s">
        <v>2</v>
      </c>
      <c r="C112" s="2">
        <v>-16341.35</v>
      </c>
    </row>
    <row r="113" spans="1:8">
      <c r="A113" s="7" t="s">
        <v>119</v>
      </c>
      <c r="B113" s="7" t="s">
        <v>120</v>
      </c>
      <c r="C113" s="2"/>
      <c r="E113" s="4">
        <v>15000</v>
      </c>
      <c r="F113" s="4">
        <v>15000</v>
      </c>
    </row>
    <row r="114" spans="1:8">
      <c r="A114" t="s">
        <v>65</v>
      </c>
      <c r="B114" t="s">
        <v>51</v>
      </c>
      <c r="C114" s="1">
        <v>4564.25</v>
      </c>
    </row>
    <row r="115" spans="1:8">
      <c r="A115" t="s">
        <v>9</v>
      </c>
      <c r="B115" t="s">
        <v>51</v>
      </c>
      <c r="C115" s="2">
        <v>-5655.24</v>
      </c>
    </row>
    <row r="116" spans="1:8">
      <c r="A116" t="s">
        <v>10</v>
      </c>
      <c r="B116" t="s">
        <v>51</v>
      </c>
      <c r="C116" s="1">
        <f>(8091.54+10634.24)</f>
        <v>18725.78</v>
      </c>
      <c r="D116" s="1">
        <v>43500</v>
      </c>
      <c r="E116" s="4">
        <v>30000</v>
      </c>
      <c r="F116" s="33">
        <v>39000</v>
      </c>
      <c r="H116" s="28"/>
    </row>
    <row r="117" spans="1:8">
      <c r="A117" t="s">
        <v>15</v>
      </c>
      <c r="B117" t="s">
        <v>51</v>
      </c>
      <c r="C117" s="1">
        <f>(6637.2+96)</f>
        <v>6733.2</v>
      </c>
      <c r="D117" s="1">
        <v>2500</v>
      </c>
      <c r="F117" s="33">
        <v>10000</v>
      </c>
    </row>
    <row r="118" spans="1:8">
      <c r="A118" t="s">
        <v>66</v>
      </c>
      <c r="B118" t="s">
        <v>51</v>
      </c>
      <c r="C118" s="1">
        <v>1082</v>
      </c>
      <c r="F118" s="4">
        <v>2000</v>
      </c>
    </row>
    <row r="119" spans="1:8">
      <c r="A119" t="s">
        <v>67</v>
      </c>
      <c r="B119" t="s">
        <v>51</v>
      </c>
      <c r="C119" s="1">
        <v>192</v>
      </c>
    </row>
    <row r="120" spans="1:8">
      <c r="A120" t="s">
        <v>68</v>
      </c>
      <c r="B120" t="s">
        <v>51</v>
      </c>
      <c r="C120" s="1">
        <v>672.8</v>
      </c>
      <c r="F120" s="4">
        <v>3000</v>
      </c>
    </row>
    <row r="121" spans="1:8">
      <c r="A121" t="s">
        <v>20</v>
      </c>
      <c r="B121" t="s">
        <v>51</v>
      </c>
      <c r="C121" s="1">
        <f>(446.98+223.5)</f>
        <v>670.48</v>
      </c>
      <c r="D121" s="1">
        <v>1000</v>
      </c>
      <c r="F121" s="4">
        <v>1000</v>
      </c>
    </row>
    <row r="122" spans="1:8">
      <c r="A122" s="7" t="s">
        <v>21</v>
      </c>
      <c r="B122" s="7" t="s">
        <v>51</v>
      </c>
      <c r="C122" s="1"/>
      <c r="D122" s="1"/>
      <c r="E122" s="4">
        <v>750</v>
      </c>
    </row>
    <row r="123" spans="1:8">
      <c r="A123" t="s">
        <v>24</v>
      </c>
      <c r="B123" t="s">
        <v>51</v>
      </c>
      <c r="C123" s="1">
        <v>22099.4</v>
      </c>
      <c r="D123" s="1">
        <v>30600</v>
      </c>
      <c r="F123" s="4">
        <v>5000</v>
      </c>
    </row>
    <row r="124" spans="1:8">
      <c r="A124" t="s">
        <v>25</v>
      </c>
      <c r="B124" t="s">
        <v>51</v>
      </c>
      <c r="D124" s="1">
        <v>2500</v>
      </c>
      <c r="E124" s="4">
        <v>2500</v>
      </c>
      <c r="F124" s="4">
        <v>3000</v>
      </c>
    </row>
    <row r="125" spans="1:8">
      <c r="A125" t="s">
        <v>69</v>
      </c>
      <c r="B125" t="s">
        <v>51</v>
      </c>
      <c r="C125" s="1">
        <v>3168</v>
      </c>
      <c r="F125" s="10">
        <v>8000</v>
      </c>
    </row>
    <row r="126" spans="1:8">
      <c r="A126" t="s">
        <v>70</v>
      </c>
      <c r="B126" t="s">
        <v>51</v>
      </c>
      <c r="C126" s="1">
        <f>(7.25+12944.26)</f>
        <v>12951.51</v>
      </c>
      <c r="D126" s="1">
        <v>20000</v>
      </c>
      <c r="E126" s="4">
        <v>20000</v>
      </c>
      <c r="F126" s="10">
        <v>20000</v>
      </c>
    </row>
    <row r="127" spans="1:8">
      <c r="A127" t="s">
        <v>71</v>
      </c>
      <c r="B127" t="s">
        <v>51</v>
      </c>
      <c r="C127" s="1">
        <v>3966.44</v>
      </c>
      <c r="F127" s="10">
        <v>5000</v>
      </c>
    </row>
    <row r="128" spans="1:8">
      <c r="A128" t="s">
        <v>72</v>
      </c>
      <c r="B128" t="s">
        <v>51</v>
      </c>
      <c r="C128" s="1">
        <v>2533.64</v>
      </c>
    </row>
    <row r="129" spans="1:6">
      <c r="A129" t="s">
        <v>49</v>
      </c>
      <c r="B129" t="s">
        <v>51</v>
      </c>
      <c r="C129" s="1">
        <f>(9945.88+3249.96)</f>
        <v>13195.84</v>
      </c>
      <c r="D129" s="1">
        <v>15000</v>
      </c>
      <c r="E129" s="4">
        <v>15000</v>
      </c>
      <c r="F129" s="4">
        <v>15000</v>
      </c>
    </row>
    <row r="130" spans="1:6">
      <c r="A130" t="s">
        <v>27</v>
      </c>
      <c r="B130" t="s">
        <v>51</v>
      </c>
      <c r="C130" s="1">
        <f>(132+7890)</f>
        <v>8022</v>
      </c>
      <c r="D130" s="1">
        <v>12000</v>
      </c>
      <c r="E130" s="4">
        <v>10000</v>
      </c>
      <c r="F130" s="4">
        <v>10000</v>
      </c>
    </row>
    <row r="131" spans="1:6">
      <c r="A131" t="s">
        <v>50</v>
      </c>
      <c r="B131" t="s">
        <v>51</v>
      </c>
      <c r="C131" s="4">
        <v>2277.4</v>
      </c>
      <c r="D131" s="1">
        <v>8500</v>
      </c>
      <c r="E131" s="4">
        <v>1000</v>
      </c>
      <c r="F131" s="4">
        <v>3000</v>
      </c>
    </row>
    <row r="132" spans="1:6">
      <c r="A132" t="s">
        <v>30</v>
      </c>
      <c r="B132" t="s">
        <v>51</v>
      </c>
      <c r="C132" s="4">
        <v>1425</v>
      </c>
      <c r="D132" s="1">
        <v>1500</v>
      </c>
      <c r="E132" s="4">
        <v>1500</v>
      </c>
      <c r="F132" s="4">
        <v>5000</v>
      </c>
    </row>
    <row r="133" spans="1:6">
      <c r="A133" t="s">
        <v>52</v>
      </c>
      <c r="B133" t="s">
        <v>51</v>
      </c>
      <c r="D133" s="1">
        <v>2500</v>
      </c>
      <c r="E133" s="4">
        <v>2500</v>
      </c>
      <c r="F133" s="4">
        <v>5000</v>
      </c>
    </row>
    <row r="134" spans="1:6">
      <c r="A134" t="s">
        <v>73</v>
      </c>
      <c r="B134" t="s">
        <v>51</v>
      </c>
      <c r="C134" s="2">
        <f>(-31.2+56408.2)</f>
        <v>56377</v>
      </c>
      <c r="D134" s="1">
        <v>55000</v>
      </c>
      <c r="E134" s="4">
        <v>60000</v>
      </c>
      <c r="F134" s="10">
        <v>65000</v>
      </c>
    </row>
    <row r="135" spans="1:6">
      <c r="A135" t="s">
        <v>54</v>
      </c>
      <c r="B135" t="s">
        <v>51</v>
      </c>
      <c r="D135" s="1">
        <v>10000</v>
      </c>
      <c r="E135" s="4">
        <v>5000</v>
      </c>
      <c r="F135" s="33">
        <v>30000</v>
      </c>
    </row>
    <row r="136" spans="1:6">
      <c r="A136" t="s">
        <v>74</v>
      </c>
      <c r="B136" t="s">
        <v>51</v>
      </c>
      <c r="C136" s="1">
        <v>4260</v>
      </c>
    </row>
    <row r="137" spans="1:6">
      <c r="A137" t="s">
        <v>75</v>
      </c>
      <c r="B137" t="s">
        <v>51</v>
      </c>
      <c r="C137" s="1">
        <v>10000</v>
      </c>
    </row>
    <row r="138" spans="1:6">
      <c r="A138" t="s">
        <v>55</v>
      </c>
      <c r="B138" t="s">
        <v>51</v>
      </c>
      <c r="C138" s="4">
        <v>633.6</v>
      </c>
      <c r="D138" s="1">
        <v>10000</v>
      </c>
      <c r="E138" s="4">
        <v>10000</v>
      </c>
      <c r="F138" s="4">
        <v>2000</v>
      </c>
    </row>
    <row r="139" spans="1:6">
      <c r="A139" t="s">
        <v>76</v>
      </c>
      <c r="B139" t="s">
        <v>51</v>
      </c>
      <c r="C139" s="1">
        <v>5200</v>
      </c>
      <c r="F139" s="4">
        <v>5000</v>
      </c>
    </row>
    <row r="140" spans="1:6">
      <c r="A140" t="s">
        <v>57</v>
      </c>
      <c r="B140" t="s">
        <v>51</v>
      </c>
      <c r="D140" s="1">
        <v>20000</v>
      </c>
      <c r="E140" s="4">
        <v>10000</v>
      </c>
      <c r="F140" s="10">
        <v>10000</v>
      </c>
    </row>
    <row r="141" spans="1:6">
      <c r="A141" t="s">
        <v>77</v>
      </c>
      <c r="B141" t="s">
        <v>51</v>
      </c>
      <c r="C141" s="1">
        <v>417.6</v>
      </c>
      <c r="F141" s="33">
        <v>30000</v>
      </c>
    </row>
    <row r="142" spans="1:6">
      <c r="A142" t="s">
        <v>77</v>
      </c>
      <c r="B142" t="s">
        <v>45</v>
      </c>
      <c r="C142" s="1">
        <v>1248.8</v>
      </c>
    </row>
    <row r="143" spans="1:6">
      <c r="A143" t="s">
        <v>33</v>
      </c>
      <c r="B143" t="s">
        <v>51</v>
      </c>
      <c r="D143" s="1">
        <v>40000</v>
      </c>
      <c r="E143" s="4">
        <v>45000</v>
      </c>
      <c r="F143" s="33">
        <v>50000</v>
      </c>
    </row>
    <row r="144" spans="1:6">
      <c r="A144" t="s">
        <v>37</v>
      </c>
      <c r="B144" t="s">
        <v>51</v>
      </c>
      <c r="C144" s="1">
        <f>(10424.14+21514.87)</f>
        <v>31939.01</v>
      </c>
      <c r="D144" s="1">
        <v>30000</v>
      </c>
      <c r="E144" s="4">
        <v>30000</v>
      </c>
      <c r="F144" s="10">
        <v>50000</v>
      </c>
    </row>
    <row r="145" spans="1:11">
      <c r="A145" t="s">
        <v>37</v>
      </c>
      <c r="B145" t="s">
        <v>45</v>
      </c>
      <c r="C145" s="1">
        <v>336.2</v>
      </c>
    </row>
    <row r="146" spans="1:11">
      <c r="A146" s="11" t="s">
        <v>78</v>
      </c>
      <c r="B146" t="s">
        <v>51</v>
      </c>
      <c r="C146" s="1">
        <v>93814.62</v>
      </c>
      <c r="D146" s="1">
        <v>94000</v>
      </c>
    </row>
    <row r="147" spans="1:11">
      <c r="A147" t="s">
        <v>79</v>
      </c>
      <c r="B147" t="s">
        <v>51</v>
      </c>
      <c r="C147" s="2">
        <v>-880.68</v>
      </c>
    </row>
    <row r="148" spans="1:11">
      <c r="A148" t="s">
        <v>80</v>
      </c>
      <c r="B148" t="s">
        <v>51</v>
      </c>
      <c r="C148" s="2">
        <v>-1200</v>
      </c>
    </row>
    <row r="149" spans="1:11">
      <c r="A149" t="s">
        <v>60</v>
      </c>
      <c r="B149" t="s">
        <v>51</v>
      </c>
      <c r="C149" s="2">
        <v>-2860</v>
      </c>
    </row>
    <row r="150" spans="1:11">
      <c r="A150" t="s">
        <v>62</v>
      </c>
      <c r="B150" t="s">
        <v>51</v>
      </c>
      <c r="C150" s="2">
        <v>-36012</v>
      </c>
    </row>
    <row r="151" spans="1:11">
      <c r="A151" t="s">
        <v>41</v>
      </c>
      <c r="B151" t="s">
        <v>51</v>
      </c>
      <c r="C151" s="2">
        <f>(-10424.14-21514.87)</f>
        <v>-31939.01</v>
      </c>
      <c r="D151" s="2">
        <v>-30000</v>
      </c>
      <c r="E151" s="4">
        <v>-30000</v>
      </c>
      <c r="F151" s="10">
        <v>-50000</v>
      </c>
    </row>
    <row r="152" spans="1:11">
      <c r="A152" t="s">
        <v>41</v>
      </c>
      <c r="B152" t="s">
        <v>45</v>
      </c>
      <c r="C152" s="2">
        <v>-336.2</v>
      </c>
    </row>
    <row r="153" spans="1:11">
      <c r="A153" t="s">
        <v>44</v>
      </c>
      <c r="B153" t="s">
        <v>51</v>
      </c>
      <c r="C153" s="2">
        <v>-25764.74</v>
      </c>
      <c r="D153" s="2">
        <v>-25600</v>
      </c>
    </row>
    <row r="154" spans="1:11">
      <c r="A154" s="11" t="s">
        <v>81</v>
      </c>
      <c r="B154" t="s">
        <v>51</v>
      </c>
      <c r="C154" s="2">
        <v>-93814.62</v>
      </c>
      <c r="D154" s="2">
        <v>-94000</v>
      </c>
    </row>
    <row r="155" spans="1:11" s="16" customFormat="1" ht="15.75" thickBot="1">
      <c r="A155" s="21"/>
      <c r="B155" s="21"/>
      <c r="C155" s="23">
        <f>SUM(C106:C154)</f>
        <v>280793.21000000002</v>
      </c>
      <c r="D155" s="23">
        <f>SUM(D106:D154)</f>
        <v>426718</v>
      </c>
      <c r="E155" s="23">
        <f t="shared" ref="E155:G155" si="3">SUM(E106:E154)</f>
        <v>413250</v>
      </c>
      <c r="F155" s="23">
        <f t="shared" si="3"/>
        <v>520589.5</v>
      </c>
      <c r="G155" s="23">
        <f t="shared" si="3"/>
        <v>0</v>
      </c>
      <c r="H155" s="15"/>
      <c r="I155" s="15"/>
      <c r="J155" s="15"/>
      <c r="K155" s="15"/>
    </row>
    <row r="156" spans="1:11" ht="15.75" thickTop="1"/>
    <row r="157" spans="1:11" s="16" customFormat="1">
      <c r="A157" s="17" t="s">
        <v>96</v>
      </c>
      <c r="B157" s="17" t="s">
        <v>0</v>
      </c>
      <c r="C157" s="18" t="s">
        <v>112</v>
      </c>
      <c r="D157" s="19" t="s">
        <v>114</v>
      </c>
      <c r="E157" s="20" t="s">
        <v>113</v>
      </c>
      <c r="F157" s="20" t="s">
        <v>115</v>
      </c>
      <c r="G157" s="20" t="s">
        <v>116</v>
      </c>
      <c r="H157" s="15"/>
      <c r="I157" s="15"/>
      <c r="J157" s="15"/>
      <c r="K157" s="15"/>
    </row>
    <row r="158" spans="1:11">
      <c r="A158" t="s">
        <v>49</v>
      </c>
      <c r="B158" t="s">
        <v>51</v>
      </c>
      <c r="C158" s="1">
        <f>(4368.37+1464.58)</f>
        <v>5832.95</v>
      </c>
      <c r="D158" s="1">
        <v>2500</v>
      </c>
      <c r="E158" s="4">
        <v>6000</v>
      </c>
      <c r="F158" s="4">
        <v>6000</v>
      </c>
    </row>
    <row r="159" spans="1:11">
      <c r="A159" t="s">
        <v>49</v>
      </c>
      <c r="B159" t="s">
        <v>51</v>
      </c>
      <c r="C159" s="1"/>
    </row>
    <row r="160" spans="1:11">
      <c r="A160" t="s">
        <v>27</v>
      </c>
      <c r="B160" t="s">
        <v>51</v>
      </c>
      <c r="C160" s="1">
        <f>(39+38)</f>
        <v>77</v>
      </c>
      <c r="D160" s="1">
        <v>1500</v>
      </c>
      <c r="E160" s="4">
        <v>1500</v>
      </c>
      <c r="F160" s="4">
        <v>1000</v>
      </c>
    </row>
    <row r="161" spans="1:11">
      <c r="A161" t="s">
        <v>50</v>
      </c>
      <c r="B161" t="s">
        <v>51</v>
      </c>
      <c r="C161" s="1">
        <v>602.79999999999995</v>
      </c>
      <c r="F161" s="4">
        <v>1000</v>
      </c>
    </row>
    <row r="162" spans="1:11">
      <c r="A162" t="s">
        <v>75</v>
      </c>
      <c r="B162" t="s">
        <v>51</v>
      </c>
      <c r="C162" s="1">
        <v>8125</v>
      </c>
      <c r="F162" s="4">
        <v>9000</v>
      </c>
    </row>
    <row r="163" spans="1:11">
      <c r="A163" t="s">
        <v>37</v>
      </c>
      <c r="B163" t="s">
        <v>51</v>
      </c>
      <c r="C163" s="1">
        <f>(1092.07+516.84)</f>
        <v>1608.9099999999999</v>
      </c>
      <c r="D163" s="1">
        <v>500</v>
      </c>
      <c r="E163" s="4">
        <v>500</v>
      </c>
      <c r="F163" s="4">
        <v>2000</v>
      </c>
    </row>
    <row r="164" spans="1:11">
      <c r="A164" t="s">
        <v>41</v>
      </c>
      <c r="B164" t="s">
        <v>51</v>
      </c>
      <c r="C164" s="2">
        <v>-1608.91</v>
      </c>
      <c r="D164" s="2">
        <v>-500</v>
      </c>
      <c r="E164" s="4">
        <v>-500</v>
      </c>
      <c r="F164" s="4">
        <v>-2000</v>
      </c>
    </row>
    <row r="165" spans="1:11" s="16" customFormat="1" ht="15.75" thickBot="1">
      <c r="A165" s="21"/>
      <c r="B165" s="21"/>
      <c r="C165" s="23">
        <f>SUM(C158:C164)</f>
        <v>14637.75</v>
      </c>
      <c r="D165" s="23">
        <f>SUM(D158:D164)</f>
        <v>4000</v>
      </c>
      <c r="E165" s="23">
        <f>SUM(E158:E164)</f>
        <v>7500</v>
      </c>
      <c r="F165" s="23">
        <f>SUM(F158:F164)</f>
        <v>17000</v>
      </c>
      <c r="G165" s="23">
        <f>SUM(G158:G164)</f>
        <v>0</v>
      </c>
      <c r="H165" s="15"/>
      <c r="I165" s="15"/>
      <c r="J165" s="15"/>
      <c r="K165" s="15"/>
    </row>
    <row r="166" spans="1:11" ht="15.75" thickTop="1"/>
    <row r="167" spans="1:11" s="16" customFormat="1">
      <c r="A167" s="17" t="s">
        <v>97</v>
      </c>
      <c r="B167" s="17" t="s">
        <v>0</v>
      </c>
      <c r="C167" s="18" t="s">
        <v>112</v>
      </c>
      <c r="D167" s="19" t="s">
        <v>114</v>
      </c>
      <c r="E167" s="20" t="s">
        <v>113</v>
      </c>
      <c r="F167" s="20" t="s">
        <v>115</v>
      </c>
      <c r="G167" s="20" t="s">
        <v>116</v>
      </c>
      <c r="H167" s="15"/>
      <c r="I167" s="15"/>
      <c r="J167" s="15"/>
      <c r="K167" s="15"/>
    </row>
    <row r="168" spans="1:11">
      <c r="A168" t="s">
        <v>14</v>
      </c>
      <c r="B168" t="s">
        <v>82</v>
      </c>
      <c r="C168" s="1">
        <v>94.4</v>
      </c>
    </row>
    <row r="169" spans="1:11">
      <c r="A169" t="s">
        <v>22</v>
      </c>
      <c r="B169" t="s">
        <v>82</v>
      </c>
      <c r="C169" s="1">
        <v>350</v>
      </c>
    </row>
    <row r="170" spans="1:11">
      <c r="A170" t="s">
        <v>26</v>
      </c>
      <c r="B170" t="s">
        <v>82</v>
      </c>
      <c r="C170" s="1">
        <v>2446</v>
      </c>
    </row>
    <row r="171" spans="1:11">
      <c r="A171" t="s">
        <v>37</v>
      </c>
      <c r="B171" t="s">
        <v>82</v>
      </c>
      <c r="C171" s="1">
        <v>226.08</v>
      </c>
    </row>
    <row r="172" spans="1:11">
      <c r="A172" t="s">
        <v>83</v>
      </c>
      <c r="B172" t="s">
        <v>45</v>
      </c>
      <c r="C172" s="1">
        <v>1482</v>
      </c>
    </row>
    <row r="173" spans="1:11">
      <c r="A173" t="s">
        <v>83</v>
      </c>
      <c r="B173" t="s">
        <v>82</v>
      </c>
      <c r="C173" s="1">
        <v>10741</v>
      </c>
    </row>
    <row r="174" spans="1:11">
      <c r="A174" t="s">
        <v>41</v>
      </c>
      <c r="B174" t="s">
        <v>82</v>
      </c>
      <c r="C174" s="2">
        <v>-226.08</v>
      </c>
    </row>
    <row r="175" spans="1:11">
      <c r="A175" t="s">
        <v>63</v>
      </c>
      <c r="B175" t="s">
        <v>82</v>
      </c>
      <c r="C175" s="2">
        <v>-13863</v>
      </c>
    </row>
    <row r="176" spans="1:11">
      <c r="A176" t="s">
        <v>44</v>
      </c>
      <c r="B176" t="s">
        <v>82</v>
      </c>
      <c r="C176" s="2">
        <v>-550</v>
      </c>
    </row>
    <row r="177" spans="1:11" s="16" customFormat="1" ht="15.75" thickBot="1">
      <c r="A177" s="21"/>
      <c r="B177" s="21"/>
      <c r="C177" s="23">
        <f>SUM(C168:C176)</f>
        <v>700.39999999999964</v>
      </c>
      <c r="D177" s="23">
        <f t="shared" ref="D177:G177" si="4">SUM(D168:D176)</f>
        <v>0</v>
      </c>
      <c r="E177" s="23">
        <f t="shared" si="4"/>
        <v>0</v>
      </c>
      <c r="F177" s="23">
        <f t="shared" si="4"/>
        <v>0</v>
      </c>
      <c r="G177" s="23">
        <f t="shared" si="4"/>
        <v>0</v>
      </c>
      <c r="H177" s="15"/>
      <c r="I177" s="15"/>
      <c r="J177" s="15"/>
      <c r="K177" s="15"/>
    </row>
    <row r="178" spans="1:11" ht="15.75" thickTop="1"/>
    <row r="179" spans="1:11" s="16" customFormat="1">
      <c r="A179" s="17" t="s">
        <v>98</v>
      </c>
      <c r="B179" s="17" t="s">
        <v>0</v>
      </c>
      <c r="C179" s="18" t="s">
        <v>112</v>
      </c>
      <c r="D179" s="19" t="s">
        <v>114</v>
      </c>
      <c r="E179" s="20" t="s">
        <v>113</v>
      </c>
      <c r="F179" s="20" t="s">
        <v>115</v>
      </c>
      <c r="G179" s="20" t="s">
        <v>116</v>
      </c>
      <c r="H179" s="15"/>
      <c r="I179" s="15"/>
      <c r="J179" s="15"/>
      <c r="K179" s="15"/>
    </row>
    <row r="180" spans="1:11">
      <c r="A180" t="s">
        <v>1</v>
      </c>
      <c r="B180" t="s">
        <v>82</v>
      </c>
      <c r="C180" s="4">
        <v>60997.64</v>
      </c>
      <c r="D180" s="1">
        <v>69000</v>
      </c>
      <c r="E180" s="4">
        <v>72000</v>
      </c>
      <c r="F180" s="4">
        <v>75000</v>
      </c>
    </row>
    <row r="181" spans="1:11">
      <c r="A181" t="s">
        <v>1</v>
      </c>
      <c r="B181" t="s">
        <v>82</v>
      </c>
      <c r="C181" s="1"/>
    </row>
    <row r="182" spans="1:11">
      <c r="A182" t="s">
        <v>3</v>
      </c>
      <c r="B182" t="s">
        <v>82</v>
      </c>
      <c r="C182" s="1">
        <v>7319.72</v>
      </c>
    </row>
    <row r="183" spans="1:11">
      <c r="A183" t="s">
        <v>9</v>
      </c>
      <c r="B183" t="s">
        <v>82</v>
      </c>
      <c r="C183" s="2">
        <v>-1974.77</v>
      </c>
    </row>
    <row r="184" spans="1:11">
      <c r="A184" t="s">
        <v>10</v>
      </c>
      <c r="B184" t="s">
        <v>82</v>
      </c>
      <c r="D184" s="1">
        <v>17000</v>
      </c>
      <c r="E184" s="4">
        <v>12000</v>
      </c>
    </row>
    <row r="185" spans="1:11">
      <c r="A185" t="s">
        <v>10</v>
      </c>
      <c r="B185" t="s">
        <v>82</v>
      </c>
      <c r="C185" s="1">
        <v>6538.94</v>
      </c>
      <c r="F185" s="33">
        <v>16260</v>
      </c>
      <c r="H185" s="28"/>
    </row>
    <row r="186" spans="1:11">
      <c r="A186" t="s">
        <v>84</v>
      </c>
      <c r="B186" t="s">
        <v>82</v>
      </c>
      <c r="D186" s="1">
        <v>2500</v>
      </c>
      <c r="E186" s="4">
        <v>3500</v>
      </c>
    </row>
    <row r="187" spans="1:11">
      <c r="A187" t="s">
        <v>13</v>
      </c>
      <c r="B187" t="s">
        <v>82</v>
      </c>
      <c r="C187" s="1">
        <f>(3866.3+648.21)</f>
        <v>4514.51</v>
      </c>
      <c r="F187" s="4">
        <v>3000</v>
      </c>
    </row>
    <row r="188" spans="1:11">
      <c r="A188" t="s">
        <v>14</v>
      </c>
      <c r="B188" t="s">
        <v>82</v>
      </c>
      <c r="C188" s="2">
        <v>-94.4</v>
      </c>
      <c r="D188" s="1">
        <v>10000</v>
      </c>
      <c r="E188" s="4">
        <v>10000</v>
      </c>
      <c r="F188" s="4">
        <v>1000</v>
      </c>
    </row>
    <row r="189" spans="1:11">
      <c r="A189" t="s">
        <v>15</v>
      </c>
      <c r="B189" t="s">
        <v>82</v>
      </c>
      <c r="C189" s="2">
        <f>(-2789.91+8672.6)</f>
        <v>5882.6900000000005</v>
      </c>
      <c r="F189" s="4">
        <v>8000</v>
      </c>
    </row>
    <row r="190" spans="1:11">
      <c r="A190" t="s">
        <v>27</v>
      </c>
      <c r="B190" t="s">
        <v>82</v>
      </c>
      <c r="C190" s="4">
        <v>543</v>
      </c>
      <c r="D190" s="1">
        <v>1000</v>
      </c>
      <c r="E190" s="4">
        <v>1000</v>
      </c>
      <c r="F190" s="4">
        <v>1000</v>
      </c>
    </row>
    <row r="191" spans="1:11">
      <c r="A191" t="s">
        <v>85</v>
      </c>
      <c r="B191" t="s">
        <v>82</v>
      </c>
      <c r="C191" s="4">
        <v>6750</v>
      </c>
      <c r="D191" s="1">
        <v>5000</v>
      </c>
      <c r="F191" s="4">
        <v>8000</v>
      </c>
    </row>
    <row r="192" spans="1:11">
      <c r="A192" s="7" t="s">
        <v>121</v>
      </c>
      <c r="B192" t="s">
        <v>82</v>
      </c>
      <c r="C192" s="1"/>
      <c r="E192" s="4">
        <v>8000</v>
      </c>
    </row>
    <row r="193" spans="1:11">
      <c r="A193" t="s">
        <v>50</v>
      </c>
      <c r="B193" t="s">
        <v>82</v>
      </c>
      <c r="C193" s="1">
        <v>125</v>
      </c>
    </row>
    <row r="194" spans="1:11">
      <c r="A194" t="s">
        <v>37</v>
      </c>
      <c r="B194" t="s">
        <v>82</v>
      </c>
      <c r="C194" s="2">
        <f>(-64.28+2257.88)</f>
        <v>2193.6</v>
      </c>
      <c r="D194" s="1">
        <v>4000</v>
      </c>
      <c r="E194" s="4">
        <v>4000</v>
      </c>
      <c r="F194" s="4">
        <v>3000</v>
      </c>
    </row>
    <row r="195" spans="1:11">
      <c r="A195" s="11" t="s">
        <v>86</v>
      </c>
      <c r="B195" t="s">
        <v>2</v>
      </c>
      <c r="C195" s="2">
        <v>-2400</v>
      </c>
      <c r="H195" s="28"/>
    </row>
    <row r="196" spans="1:11">
      <c r="A196" s="11" t="s">
        <v>86</v>
      </c>
      <c r="B196" t="s">
        <v>82</v>
      </c>
      <c r="C196" s="2">
        <v>-1900</v>
      </c>
      <c r="D196" s="2">
        <v>-6000</v>
      </c>
      <c r="E196" s="4">
        <v>-6000</v>
      </c>
      <c r="F196" s="4">
        <v>-6000</v>
      </c>
    </row>
    <row r="197" spans="1:11">
      <c r="A197" t="s">
        <v>41</v>
      </c>
      <c r="B197" t="s">
        <v>82</v>
      </c>
      <c r="C197" s="1">
        <v>-2193.6</v>
      </c>
      <c r="D197" s="2">
        <v>-4000</v>
      </c>
      <c r="E197" s="4">
        <v>-4000</v>
      </c>
      <c r="F197" s="4">
        <v>-3000</v>
      </c>
    </row>
    <row r="198" spans="1:11">
      <c r="A198" s="11" t="s">
        <v>87</v>
      </c>
      <c r="B198" t="s">
        <v>82</v>
      </c>
      <c r="C198" s="2">
        <v>-15567.45</v>
      </c>
      <c r="F198" s="4">
        <v>-10000</v>
      </c>
    </row>
    <row r="199" spans="1:11">
      <c r="A199" s="11" t="s">
        <v>88</v>
      </c>
      <c r="B199" t="s">
        <v>82</v>
      </c>
      <c r="C199" s="2">
        <v>-6336</v>
      </c>
      <c r="D199" s="2">
        <v>-10000</v>
      </c>
      <c r="E199" s="4">
        <v>-15000</v>
      </c>
      <c r="F199" s="4">
        <v>-15000</v>
      </c>
      <c r="H199" s="28"/>
    </row>
    <row r="200" spans="1:11">
      <c r="A200" t="s">
        <v>44</v>
      </c>
      <c r="B200" t="s">
        <v>82</v>
      </c>
      <c r="C200" s="2">
        <v>-5000</v>
      </c>
      <c r="D200" s="2">
        <v>-5000</v>
      </c>
    </row>
    <row r="201" spans="1:11" s="16" customFormat="1" ht="15.75" thickBot="1">
      <c r="A201" s="21"/>
      <c r="B201" s="21"/>
      <c r="C201" s="23">
        <f>SUM(C180:C200)</f>
        <v>59398.880000000005</v>
      </c>
      <c r="D201" s="23">
        <f t="shared" ref="D201:G201" si="5">SUM(D180:D200)</f>
        <v>83500</v>
      </c>
      <c r="E201" s="23">
        <f t="shared" si="5"/>
        <v>85500</v>
      </c>
      <c r="F201" s="23">
        <f t="shared" si="5"/>
        <v>81260</v>
      </c>
      <c r="G201" s="23">
        <f t="shared" si="5"/>
        <v>0</v>
      </c>
      <c r="H201" s="15"/>
      <c r="I201" s="15"/>
      <c r="J201" s="15"/>
      <c r="K201" s="15"/>
    </row>
    <row r="202" spans="1:11" ht="15.75" thickTop="1"/>
    <row r="203" spans="1:11" s="16" customFormat="1">
      <c r="A203" s="17" t="s">
        <v>99</v>
      </c>
      <c r="B203" s="17" t="s">
        <v>0</v>
      </c>
      <c r="C203" s="18" t="s">
        <v>112</v>
      </c>
      <c r="D203" s="19" t="s">
        <v>114</v>
      </c>
      <c r="E203" s="20" t="s">
        <v>113</v>
      </c>
      <c r="F203" s="20" t="s">
        <v>115</v>
      </c>
      <c r="G203" s="20" t="s">
        <v>116</v>
      </c>
      <c r="H203" s="15"/>
      <c r="I203" s="15"/>
      <c r="J203" s="15"/>
      <c r="K203" s="15"/>
    </row>
    <row r="204" spans="1:11">
      <c r="A204" t="s">
        <v>13</v>
      </c>
      <c r="B204" t="s">
        <v>82</v>
      </c>
      <c r="C204" s="1">
        <v>1722.67</v>
      </c>
      <c r="E204" s="4">
        <v>2000</v>
      </c>
      <c r="F204" s="4">
        <v>2000</v>
      </c>
    </row>
    <row r="205" spans="1:11">
      <c r="A205" t="s">
        <v>14</v>
      </c>
      <c r="B205" t="s">
        <v>82</v>
      </c>
      <c r="C205" s="1">
        <v>1625</v>
      </c>
      <c r="D205" s="1">
        <v>5000</v>
      </c>
      <c r="E205" s="4">
        <v>1000</v>
      </c>
      <c r="F205" s="4">
        <v>1000</v>
      </c>
    </row>
    <row r="206" spans="1:11">
      <c r="A206" t="s">
        <v>15</v>
      </c>
      <c r="B206" t="s">
        <v>82</v>
      </c>
      <c r="C206" s="1">
        <f>(47.76+602.4)</f>
        <v>650.16</v>
      </c>
      <c r="F206" s="4">
        <v>1000</v>
      </c>
    </row>
    <row r="207" spans="1:11">
      <c r="A207" t="s">
        <v>85</v>
      </c>
      <c r="B207" t="s">
        <v>82</v>
      </c>
      <c r="D207" s="1">
        <v>1000</v>
      </c>
    </row>
    <row r="208" spans="1:11">
      <c r="A208" s="7" t="s">
        <v>121</v>
      </c>
      <c r="D208" s="1"/>
      <c r="E208" s="4">
        <v>1000</v>
      </c>
    </row>
    <row r="209" spans="1:11">
      <c r="A209" t="s">
        <v>37</v>
      </c>
      <c r="B209" t="s">
        <v>82</v>
      </c>
      <c r="C209" s="1">
        <f>(43.47+150.6)</f>
        <v>194.07</v>
      </c>
      <c r="E209" s="4">
        <v>500</v>
      </c>
      <c r="F209" s="4">
        <v>500</v>
      </c>
    </row>
    <row r="210" spans="1:11">
      <c r="A210" t="s">
        <v>86</v>
      </c>
      <c r="B210" t="s">
        <v>82</v>
      </c>
      <c r="C210" s="2">
        <v>-4325</v>
      </c>
      <c r="D210" s="2">
        <v>-3000</v>
      </c>
      <c r="E210" s="4">
        <v>-6000</v>
      </c>
      <c r="F210" s="10">
        <v>-6600</v>
      </c>
      <c r="H210" s="28"/>
    </row>
    <row r="211" spans="1:11">
      <c r="A211" t="s">
        <v>41</v>
      </c>
      <c r="B211" t="s">
        <v>82</v>
      </c>
      <c r="C211" s="2">
        <v>-194.07</v>
      </c>
      <c r="D211" s="2">
        <v>-500</v>
      </c>
      <c r="E211" s="4">
        <v>-500</v>
      </c>
      <c r="F211" s="4">
        <v>-500</v>
      </c>
    </row>
    <row r="212" spans="1:11">
      <c r="A212" t="s">
        <v>63</v>
      </c>
      <c r="B212" t="s">
        <v>82</v>
      </c>
      <c r="C212" s="2">
        <v>-1507</v>
      </c>
      <c r="F212" s="4">
        <v>-3000</v>
      </c>
    </row>
    <row r="213" spans="1:11" s="16" customFormat="1" ht="15.75" thickBot="1">
      <c r="A213" s="21"/>
      <c r="B213" s="21"/>
      <c r="C213" s="22">
        <f>SUM(C204:C212)</f>
        <v>-1834.1700000000003</v>
      </c>
      <c r="D213" s="22">
        <f>SUM(D204:D212)</f>
        <v>2500</v>
      </c>
      <c r="E213" s="22">
        <f>SUM(E204:E212)</f>
        <v>-2000</v>
      </c>
      <c r="F213" s="22">
        <f>SUM(F204:F212)</f>
        <v>-5600</v>
      </c>
      <c r="G213" s="22">
        <f>SUM(G204:G212)</f>
        <v>0</v>
      </c>
      <c r="H213" s="15"/>
      <c r="I213" s="15"/>
      <c r="J213" s="15"/>
      <c r="K213" s="15"/>
    </row>
    <row r="214" spans="1:11" ht="15.75" thickTop="1"/>
    <row r="215" spans="1:11" s="16" customFormat="1">
      <c r="A215" s="17" t="s">
        <v>100</v>
      </c>
      <c r="B215" s="17" t="s">
        <v>0</v>
      </c>
      <c r="C215" s="18" t="s">
        <v>112</v>
      </c>
      <c r="D215" s="19" t="s">
        <v>114</v>
      </c>
      <c r="E215" s="20" t="s">
        <v>113</v>
      </c>
      <c r="F215" s="20" t="s">
        <v>115</v>
      </c>
      <c r="G215" s="20" t="s">
        <v>116</v>
      </c>
      <c r="H215" s="15"/>
      <c r="I215" s="15"/>
      <c r="J215" s="15"/>
      <c r="K215" s="15"/>
    </row>
    <row r="216" spans="1:11">
      <c r="A216" s="11" t="s">
        <v>83</v>
      </c>
      <c r="B216" t="s">
        <v>89</v>
      </c>
      <c r="C216" s="1">
        <v>4279</v>
      </c>
      <c r="D216" s="1">
        <v>6000</v>
      </c>
      <c r="E216" s="4">
        <v>2593</v>
      </c>
      <c r="F216" s="4">
        <v>3000</v>
      </c>
      <c r="H216" s="28"/>
    </row>
    <row r="217" spans="1:11">
      <c r="A217" t="s">
        <v>90</v>
      </c>
      <c r="B217" t="s">
        <v>89</v>
      </c>
      <c r="C217" s="1">
        <v>301775.17</v>
      </c>
    </row>
    <row r="218" spans="1:11">
      <c r="A218" t="s">
        <v>91</v>
      </c>
      <c r="B218" t="s">
        <v>89</v>
      </c>
      <c r="C218" s="2">
        <v>-16841</v>
      </c>
      <c r="D218" s="2">
        <v>-20000</v>
      </c>
      <c r="E218" s="4">
        <v>-20000</v>
      </c>
      <c r="F218" s="4">
        <v>-20000</v>
      </c>
    </row>
    <row r="219" spans="1:11" s="16" customFormat="1" ht="15.75" thickBot="1">
      <c r="A219" s="21"/>
      <c r="B219" s="21"/>
      <c r="C219" s="23">
        <f>SUM(C216:C218)</f>
        <v>289213.17</v>
      </c>
      <c r="D219" s="23">
        <f>SUM(D216:D218)</f>
        <v>-14000</v>
      </c>
      <c r="E219" s="23">
        <f t="shared" ref="E219:G219" si="6">SUM(E216:E218)</f>
        <v>-17407</v>
      </c>
      <c r="F219" s="23">
        <f t="shared" si="6"/>
        <v>-17000</v>
      </c>
      <c r="G219" s="23">
        <f t="shared" si="6"/>
        <v>0</v>
      </c>
      <c r="H219" s="15"/>
      <c r="I219" s="15"/>
      <c r="J219" s="15"/>
      <c r="K219" s="15"/>
    </row>
    <row r="220" spans="1:11" s="11" customFormat="1" ht="15.75" thickTop="1">
      <c r="A220" s="8"/>
      <c r="B220" s="8"/>
      <c r="C220" s="9"/>
      <c r="D220" s="9"/>
      <c r="E220" s="10"/>
      <c r="F220" s="10"/>
      <c r="G220" s="10"/>
      <c r="H220" s="10"/>
      <c r="I220" s="10"/>
      <c r="J220" s="10"/>
      <c r="K220" s="10"/>
    </row>
    <row r="221" spans="1:11" s="16" customFormat="1">
      <c r="A221" s="5" t="s">
        <v>111</v>
      </c>
      <c r="B221" s="5"/>
      <c r="C221" s="12" t="s">
        <v>112</v>
      </c>
      <c r="D221" s="13" t="s">
        <v>114</v>
      </c>
      <c r="E221" s="14" t="s">
        <v>113</v>
      </c>
      <c r="F221" s="14" t="s">
        <v>115</v>
      </c>
      <c r="G221" s="14" t="s">
        <v>116</v>
      </c>
      <c r="H221" s="15"/>
      <c r="I221" s="15"/>
      <c r="J221" s="15"/>
      <c r="K221" s="15"/>
    </row>
    <row r="222" spans="1:11">
      <c r="A222" s="3" t="s">
        <v>92</v>
      </c>
      <c r="C222" s="4">
        <f>SUM(C50)</f>
        <v>-1126537.3400000001</v>
      </c>
      <c r="D222" s="4">
        <f t="shared" ref="D222:G222" si="7">SUM(D50)</f>
        <v>-1146737</v>
      </c>
      <c r="E222" s="4">
        <f t="shared" si="7"/>
        <v>-1123843</v>
      </c>
      <c r="F222" s="4">
        <f t="shared" si="7"/>
        <v>-1263705</v>
      </c>
      <c r="G222" s="4">
        <f t="shared" si="7"/>
        <v>0</v>
      </c>
    </row>
    <row r="223" spans="1:11">
      <c r="A223" s="3" t="s">
        <v>101</v>
      </c>
      <c r="C223" s="4">
        <f>(C95)</f>
        <v>462941.82000000018</v>
      </c>
      <c r="D223" s="4">
        <f t="shared" ref="D223:G223" si="8">(D95)</f>
        <v>625519</v>
      </c>
      <c r="E223" s="4">
        <f t="shared" si="8"/>
        <v>618500</v>
      </c>
      <c r="F223" s="4">
        <f t="shared" si="8"/>
        <v>648455.5</v>
      </c>
      <c r="G223" s="4">
        <f t="shared" si="8"/>
        <v>0</v>
      </c>
    </row>
    <row r="224" spans="1:11">
      <c r="A224" s="3" t="s">
        <v>102</v>
      </c>
      <c r="C224" s="4">
        <f>(C103)</f>
        <v>20686.28</v>
      </c>
      <c r="D224" s="4">
        <f t="shared" ref="D224:G224" si="9">(D103)</f>
        <v>18500</v>
      </c>
      <c r="E224" s="4">
        <f t="shared" si="9"/>
        <v>18500</v>
      </c>
      <c r="F224" s="4">
        <f t="shared" si="9"/>
        <v>19000</v>
      </c>
      <c r="G224" s="4">
        <f t="shared" si="9"/>
        <v>0</v>
      </c>
    </row>
    <row r="225" spans="1:7">
      <c r="A225" s="3" t="s">
        <v>103</v>
      </c>
      <c r="C225" s="4">
        <f>(C155)</f>
        <v>280793.21000000002</v>
      </c>
      <c r="D225" s="4">
        <f t="shared" ref="D225:G225" si="10">(D155)</f>
        <v>426718</v>
      </c>
      <c r="E225" s="4">
        <f t="shared" si="10"/>
        <v>413250</v>
      </c>
      <c r="F225" s="4">
        <f t="shared" si="10"/>
        <v>520589.5</v>
      </c>
      <c r="G225" s="4">
        <f t="shared" si="10"/>
        <v>0</v>
      </c>
    </row>
    <row r="226" spans="1:7">
      <c r="A226" s="3" t="s">
        <v>104</v>
      </c>
      <c r="C226" s="4">
        <f>(C165)</f>
        <v>14637.75</v>
      </c>
      <c r="D226" s="4">
        <f t="shared" ref="D226:G226" si="11">(D165)</f>
        <v>4000</v>
      </c>
      <c r="E226" s="4">
        <f t="shared" si="11"/>
        <v>7500</v>
      </c>
      <c r="F226" s="4">
        <f t="shared" si="11"/>
        <v>17000</v>
      </c>
      <c r="G226" s="4">
        <f t="shared" si="11"/>
        <v>0</v>
      </c>
    </row>
    <row r="227" spans="1:7">
      <c r="A227" s="3" t="s">
        <v>105</v>
      </c>
      <c r="C227" s="4">
        <f>(C177)</f>
        <v>700.39999999999964</v>
      </c>
      <c r="D227" s="4">
        <f t="shared" ref="D227:G227" si="12">(D177)</f>
        <v>0</v>
      </c>
      <c r="E227" s="4">
        <f t="shared" si="12"/>
        <v>0</v>
      </c>
      <c r="F227" s="4">
        <f t="shared" si="12"/>
        <v>0</v>
      </c>
      <c r="G227" s="4">
        <f t="shared" si="12"/>
        <v>0</v>
      </c>
    </row>
    <row r="228" spans="1:7">
      <c r="A228" s="3" t="s">
        <v>106</v>
      </c>
      <c r="C228" s="4">
        <f>(C201)</f>
        <v>59398.880000000005</v>
      </c>
      <c r="D228" s="4">
        <f t="shared" ref="D228:G228" si="13">(D201)</f>
        <v>83500</v>
      </c>
      <c r="E228" s="4">
        <f t="shared" si="13"/>
        <v>85500</v>
      </c>
      <c r="F228" s="4">
        <f t="shared" si="13"/>
        <v>81260</v>
      </c>
      <c r="G228" s="4">
        <f t="shared" si="13"/>
        <v>0</v>
      </c>
    </row>
    <row r="229" spans="1:7">
      <c r="A229" s="3" t="s">
        <v>107</v>
      </c>
      <c r="C229" s="4">
        <f>(C213)</f>
        <v>-1834.1700000000003</v>
      </c>
      <c r="D229" s="4">
        <f t="shared" ref="D229:G229" si="14">(D213)</f>
        <v>2500</v>
      </c>
      <c r="E229" s="4">
        <f t="shared" si="14"/>
        <v>-2000</v>
      </c>
      <c r="F229" s="4">
        <f t="shared" si="14"/>
        <v>-5600</v>
      </c>
      <c r="G229" s="4">
        <f t="shared" si="14"/>
        <v>0</v>
      </c>
    </row>
    <row r="230" spans="1:7">
      <c r="A230" s="3" t="s">
        <v>108</v>
      </c>
    </row>
    <row r="231" spans="1:7">
      <c r="A231" s="3" t="s">
        <v>109</v>
      </c>
      <c r="C231" s="4">
        <f>(C219)</f>
        <v>289213.17</v>
      </c>
      <c r="D231" s="4">
        <f t="shared" ref="D231:G231" si="15">(D219)</f>
        <v>-14000</v>
      </c>
      <c r="E231" s="4">
        <f t="shared" si="15"/>
        <v>-17407</v>
      </c>
      <c r="F231" s="4">
        <f t="shared" si="15"/>
        <v>-17000</v>
      </c>
      <c r="G231" s="4">
        <f t="shared" si="15"/>
        <v>0</v>
      </c>
    </row>
    <row r="233" spans="1:7">
      <c r="B233" s="5" t="s">
        <v>110</v>
      </c>
      <c r="C233" s="6">
        <f>SUM(C222:C231)</f>
        <v>0</v>
      </c>
      <c r="D233" s="6">
        <f t="shared" ref="D233:G233" si="16">SUM(D222:D231)</f>
        <v>0</v>
      </c>
      <c r="E233" s="6">
        <f t="shared" si="16"/>
        <v>0</v>
      </c>
      <c r="F233" s="6">
        <f t="shared" si="16"/>
        <v>0</v>
      </c>
      <c r="G233" s="6">
        <f t="shared" si="16"/>
        <v>0</v>
      </c>
    </row>
  </sheetData>
  <pageMargins left="0.70866141732283472" right="0.70866141732283472" top="0.78740157480314965" bottom="0.78740157480314965" header="0.31496062992125984" footer="0.31496062992125984"/>
  <pageSetup paperSize="9" scale="65" fitToHeight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H1" sqref="H1:H1048576"/>
    </sheetView>
  </sheetViews>
  <sheetFormatPr baseColWidth="10" defaultRowHeight="15"/>
  <cols>
    <col min="3" max="3" width="19.5703125" bestFit="1" customWidth="1"/>
    <col min="8" max="8" width="11.42578125" style="4"/>
  </cols>
  <sheetData>
    <row r="1" spans="1:8">
      <c r="A1" s="26" t="s">
        <v>122</v>
      </c>
      <c r="B1" s="26"/>
      <c r="C1" s="26"/>
      <c r="D1" s="26" t="s">
        <v>125</v>
      </c>
      <c r="E1" s="26" t="s">
        <v>126</v>
      </c>
      <c r="F1" s="26" t="s">
        <v>127</v>
      </c>
      <c r="G1" s="26" t="s">
        <v>136</v>
      </c>
      <c r="H1" s="30" t="s">
        <v>137</v>
      </c>
    </row>
    <row r="2" spans="1:8">
      <c r="A2" s="25">
        <v>1100</v>
      </c>
      <c r="B2" s="3" t="s">
        <v>123</v>
      </c>
      <c r="C2" s="3" t="s">
        <v>124</v>
      </c>
      <c r="D2" s="4">
        <v>445000</v>
      </c>
      <c r="E2" s="4">
        <v>0.8</v>
      </c>
      <c r="F2" s="4">
        <v>360381</v>
      </c>
      <c r="G2">
        <f>SUM(F2/$F$13)</f>
        <v>0.36428688396992553</v>
      </c>
      <c r="H2" s="4">
        <f>SUM(G2*$F$16)</f>
        <v>78128.972291913902</v>
      </c>
    </row>
    <row r="3" spans="1:8">
      <c r="A3" s="25"/>
      <c r="D3" s="4"/>
      <c r="E3" s="4"/>
      <c r="F3" s="4"/>
      <c r="G3">
        <f t="shared" ref="G3:G11" si="0">SUM(F3/$F$13)</f>
        <v>0</v>
      </c>
      <c r="H3" s="4">
        <f t="shared" ref="H3:H11" si="1">SUM(G3*$F$16)</f>
        <v>0</v>
      </c>
    </row>
    <row r="4" spans="1:8">
      <c r="A4" s="25">
        <v>1200</v>
      </c>
      <c r="B4" s="3" t="s">
        <v>128</v>
      </c>
      <c r="C4" s="3" t="s">
        <v>129</v>
      </c>
      <c r="D4" s="4">
        <v>347700</v>
      </c>
      <c r="E4" s="4">
        <v>0.5</v>
      </c>
      <c r="F4" s="4">
        <f>(351979/2)</f>
        <v>175989.5</v>
      </c>
      <c r="G4">
        <f t="shared" si="0"/>
        <v>0.17789691067627098</v>
      </c>
      <c r="H4" s="4">
        <f t="shared" si="1"/>
        <v>38153.728329650512</v>
      </c>
    </row>
    <row r="5" spans="1:8">
      <c r="A5" s="25">
        <v>1200</v>
      </c>
      <c r="B5" s="3" t="s">
        <v>128</v>
      </c>
      <c r="C5" s="3" t="s">
        <v>130</v>
      </c>
      <c r="D5" s="4">
        <v>384700</v>
      </c>
      <c r="E5" s="4">
        <v>0.5</v>
      </c>
      <c r="F5" s="4">
        <v>194718</v>
      </c>
      <c r="G5">
        <f t="shared" si="0"/>
        <v>0.1968283940409066</v>
      </c>
      <c r="H5" s="4">
        <f t="shared" si="1"/>
        <v>42213.982498347279</v>
      </c>
    </row>
    <row r="6" spans="1:8">
      <c r="A6" s="25"/>
      <c r="C6" s="3" t="s">
        <v>130</v>
      </c>
      <c r="D6" s="4">
        <v>3600</v>
      </c>
      <c r="E6" s="4"/>
      <c r="F6" s="4">
        <v>3600</v>
      </c>
      <c r="G6">
        <f t="shared" si="0"/>
        <v>3.6390175461296016E-3</v>
      </c>
      <c r="H6" s="4">
        <f t="shared" si="1"/>
        <v>780.46373213596178</v>
      </c>
    </row>
    <row r="7" spans="1:8">
      <c r="A7" s="25"/>
      <c r="D7" s="4"/>
      <c r="E7" s="4"/>
      <c r="F7" s="4"/>
      <c r="G7">
        <f t="shared" si="0"/>
        <v>0</v>
      </c>
      <c r="H7" s="4">
        <f t="shared" si="1"/>
        <v>0</v>
      </c>
    </row>
    <row r="8" spans="1:8">
      <c r="A8" s="25">
        <v>1300</v>
      </c>
      <c r="B8" s="3" t="s">
        <v>131</v>
      </c>
      <c r="C8" s="3" t="s">
        <v>129</v>
      </c>
      <c r="D8" s="4">
        <v>347700</v>
      </c>
      <c r="E8" s="4">
        <v>0.5</v>
      </c>
      <c r="F8" s="4">
        <v>175989.5</v>
      </c>
      <c r="G8">
        <f t="shared" si="0"/>
        <v>0.17789691067627098</v>
      </c>
      <c r="H8" s="4">
        <f t="shared" si="1"/>
        <v>38153.728329650512</v>
      </c>
    </row>
    <row r="9" spans="1:8">
      <c r="A9" s="25"/>
      <c r="D9" s="27" t="s">
        <v>132</v>
      </c>
      <c r="E9" s="4"/>
      <c r="F9" s="4">
        <v>3600</v>
      </c>
      <c r="G9">
        <f t="shared" si="0"/>
        <v>3.6390175461296016E-3</v>
      </c>
      <c r="H9" s="4">
        <f t="shared" si="1"/>
        <v>780.46373213596178</v>
      </c>
    </row>
    <row r="10" spans="1:8">
      <c r="D10" s="4"/>
      <c r="E10" s="4"/>
      <c r="F10" s="4"/>
      <c r="G10">
        <f t="shared" si="0"/>
        <v>0</v>
      </c>
      <c r="H10" s="4">
        <f t="shared" si="1"/>
        <v>0</v>
      </c>
    </row>
    <row r="11" spans="1:8">
      <c r="A11">
        <v>1401</v>
      </c>
      <c r="B11" s="7" t="s">
        <v>134</v>
      </c>
      <c r="C11" s="7" t="s">
        <v>135</v>
      </c>
      <c r="F11" s="4">
        <v>75000</v>
      </c>
      <c r="G11">
        <f t="shared" si="0"/>
        <v>7.5812865544366698E-2</v>
      </c>
      <c r="H11" s="4">
        <f t="shared" si="1"/>
        <v>16259.66108616587</v>
      </c>
    </row>
    <row r="13" spans="1:8">
      <c r="F13" s="4">
        <f>SUM(F2:F12)</f>
        <v>989278</v>
      </c>
      <c r="G13" s="4">
        <f>SUM(G2:G12)</f>
        <v>1</v>
      </c>
      <c r="H13" s="4">
        <f>SUM(H2:H12)</f>
        <v>214470.99999999997</v>
      </c>
    </row>
    <row r="16" spans="1:8">
      <c r="F16">
        <v>214471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Data</vt:lpstr>
      <vt:lpstr>Lønn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Mirjam Nilsen Hammeren</dc:creator>
  <cp:lastModifiedBy>seb</cp:lastModifiedBy>
  <cp:lastPrinted>2016-10-12T11:53:48Z</cp:lastPrinted>
  <dcterms:created xsi:type="dcterms:W3CDTF">2016-10-09T12:58:26Z</dcterms:created>
  <dcterms:modified xsi:type="dcterms:W3CDTF">2016-10-26T05:53:19Z</dcterms:modified>
</cp:coreProperties>
</file>